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КАПИТАЛЬНЫЙ РЕМОНТ\В орг отдел на опубликование\"/>
    </mc:Choice>
  </mc:AlternateContent>
  <xr:revisionPtr revIDLastSave="0" documentId="13_ncr:1_{CA92B882-8D06-4ED4-A1B2-8A8921E320FE}" xr6:coauthVersionLast="45" xr6:coauthVersionMax="45" xr10:uidLastSave="{00000000-0000-0000-0000-000000000000}"/>
  <bookViews>
    <workbookView xWindow="-120" yWindow="-120" windowWidth="29040" windowHeight="15720" tabRatio="652" xr2:uid="{00000000-000D-0000-FFFF-FFFF00000000}"/>
  </bookViews>
  <sheets>
    <sheet name="Прил.1.1 -перечень домов" sheetId="27" r:id="rId1"/>
    <sheet name="Прил.1.2-реестр дом" sheetId="28" r:id="rId2"/>
  </sheets>
  <definedNames>
    <definedName name="_xlnm._FilterDatabase" localSheetId="0" hidden="1">'Прил.1.1 -перечень домов'!$A$14:$Y$29</definedName>
    <definedName name="_xlnm._FilterDatabase" localSheetId="1" hidden="1">'Прил.1.2-реестр дом'!$A$8:$AG$55</definedName>
    <definedName name="_xlnm.Print_Titles" localSheetId="0">'Прил.1.1 -перечень домов'!$10:$14</definedName>
    <definedName name="_xlnm.Print_Titles" localSheetId="1">'Прил.1.2-реестр дом'!$5:$9</definedName>
    <definedName name="_xlnm.Print_Area" localSheetId="0">'Прил.1.1 -перечень домов'!$A$1:$U$33</definedName>
    <definedName name="_xlnm.Print_Area" localSheetId="1">'Прил.1.2-реестр дом'!$A$1:$AA$27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27" l="1"/>
  <c r="M21" i="27"/>
  <c r="O21" i="27"/>
  <c r="P21" i="27"/>
  <c r="Q21" i="27"/>
  <c r="J18" i="27"/>
  <c r="L18" i="27"/>
  <c r="M18" i="27"/>
  <c r="O18" i="27"/>
  <c r="P18" i="27"/>
  <c r="Q18" i="27"/>
  <c r="J16" i="27"/>
  <c r="J15" i="27" s="1"/>
  <c r="K16" i="27"/>
  <c r="L16" i="27"/>
  <c r="M16" i="27"/>
  <c r="O16" i="27"/>
  <c r="O15" i="27" s="1"/>
  <c r="P16" i="27"/>
  <c r="P15" i="27" s="1"/>
  <c r="Q16" i="27"/>
  <c r="I21" i="27"/>
  <c r="I18" i="27"/>
  <c r="I16" i="27"/>
  <c r="X16" i="28"/>
  <c r="L16" i="28"/>
  <c r="L10" i="28" s="1"/>
  <c r="M16" i="28"/>
  <c r="N16" i="28"/>
  <c r="O16" i="28"/>
  <c r="P16" i="28"/>
  <c r="R16" i="28"/>
  <c r="S16" i="28"/>
  <c r="V16" i="28"/>
  <c r="W16" i="28"/>
  <c r="Z16" i="28"/>
  <c r="H13" i="28"/>
  <c r="I13" i="28"/>
  <c r="J13" i="28"/>
  <c r="K13" i="28"/>
  <c r="L13" i="28"/>
  <c r="M13" i="28"/>
  <c r="N13" i="28"/>
  <c r="O13" i="28"/>
  <c r="P13" i="28"/>
  <c r="R13" i="28"/>
  <c r="S13" i="28"/>
  <c r="T13" i="28"/>
  <c r="U13" i="28"/>
  <c r="V13" i="28"/>
  <c r="W13" i="28"/>
  <c r="X13" i="28"/>
  <c r="Z13" i="28"/>
  <c r="AB13" i="28"/>
  <c r="AC13" i="28"/>
  <c r="H11" i="28"/>
  <c r="I11" i="28"/>
  <c r="J11" i="28"/>
  <c r="K11" i="28"/>
  <c r="L11" i="28"/>
  <c r="M11" i="28"/>
  <c r="N11" i="28"/>
  <c r="O11" i="28"/>
  <c r="P11" i="28"/>
  <c r="P10" i="28" s="1"/>
  <c r="R11" i="28"/>
  <c r="R10" i="28" s="1"/>
  <c r="S11" i="28"/>
  <c r="T11" i="28"/>
  <c r="U11" i="28"/>
  <c r="V11" i="28"/>
  <c r="W11" i="28"/>
  <c r="X11" i="28"/>
  <c r="X10" i="28" s="1"/>
  <c r="Z11" i="28"/>
  <c r="Z10" i="28" s="1"/>
  <c r="AB11" i="28"/>
  <c r="AC11" i="28"/>
  <c r="N10" i="28"/>
  <c r="V10" i="28"/>
  <c r="M10" i="28" l="1"/>
  <c r="Q15" i="27"/>
  <c r="M15" i="27"/>
  <c r="S10" i="28"/>
  <c r="O10" i="28"/>
  <c r="W10" i="28"/>
  <c r="K54" i="27"/>
  <c r="L54" i="27" s="1"/>
  <c r="B18" i="28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E49" i="28"/>
  <c r="I49" i="28" s="1"/>
  <c r="F49" i="28"/>
  <c r="Q49" i="28"/>
  <c r="K49" i="28" l="1"/>
  <c r="J49" i="28"/>
  <c r="Y49" i="28"/>
  <c r="AA49" i="28" l="1"/>
  <c r="G49" i="28"/>
  <c r="R54" i="27" s="1"/>
  <c r="N54" i="27" s="1"/>
  <c r="S54" i="27" s="1"/>
  <c r="T54" i="27" s="1"/>
  <c r="AB10" i="28" l="1"/>
  <c r="F17" i="28" l="1"/>
  <c r="Y15" i="27"/>
  <c r="F18" i="28" l="1"/>
  <c r="Q18" i="28" l="1"/>
  <c r="Q23" i="28"/>
  <c r="Q24" i="28"/>
  <c r="Q25" i="28"/>
  <c r="Q19" i="28"/>
  <c r="Q26" i="28"/>
  <c r="Q27" i="28"/>
  <c r="Q20" i="28"/>
  <c r="Q28" i="28"/>
  <c r="Q29" i="28"/>
  <c r="Q30" i="28"/>
  <c r="Q21" i="28"/>
  <c r="Q22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50" i="28"/>
  <c r="Q51" i="28"/>
  <c r="Q52" i="28"/>
  <c r="Q53" i="28"/>
  <c r="Q54" i="28"/>
  <c r="Q55" i="28"/>
  <c r="Q17" i="28"/>
  <c r="Q15" i="28"/>
  <c r="Q14" i="28"/>
  <c r="Q12" i="28"/>
  <c r="Q11" i="28" s="1"/>
  <c r="E39" i="28"/>
  <c r="J39" i="28" s="1"/>
  <c r="F39" i="28"/>
  <c r="E40" i="28"/>
  <c r="J40" i="28" s="1"/>
  <c r="F40" i="28"/>
  <c r="L44" i="27"/>
  <c r="Q16" i="28" l="1"/>
  <c r="Q13" i="28"/>
  <c r="AA12" i="28"/>
  <c r="AA11" i="28" s="1"/>
  <c r="I39" i="28"/>
  <c r="Y39" i="28"/>
  <c r="K39" i="28"/>
  <c r="I40" i="28"/>
  <c r="Y40" i="28"/>
  <c r="K40" i="28"/>
  <c r="B23" i="27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20" i="27"/>
  <c r="A19" i="27"/>
  <c r="A20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B15" i="28"/>
  <c r="A18" i="28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Q10" i="28" l="1"/>
  <c r="AA39" i="28"/>
  <c r="AA40" i="28"/>
  <c r="G40" i="28" s="1"/>
  <c r="R45" i="27" s="1"/>
  <c r="N45" i="27" s="1"/>
  <c r="S45" i="27" s="1"/>
  <c r="T45" i="27" s="1"/>
  <c r="G39" i="28"/>
  <c r="R44" i="27" s="1"/>
  <c r="N44" i="27" s="1"/>
  <c r="S44" i="27" s="1"/>
  <c r="T44" i="27" s="1"/>
  <c r="F23" i="28" l="1"/>
  <c r="F24" i="28"/>
  <c r="F25" i="28"/>
  <c r="F19" i="28"/>
  <c r="F26" i="28"/>
  <c r="F27" i="28"/>
  <c r="F20" i="28"/>
  <c r="F28" i="28"/>
  <c r="F29" i="28"/>
  <c r="F30" i="28"/>
  <c r="F21" i="28"/>
  <c r="F22" i="28"/>
  <c r="F31" i="28"/>
  <c r="F32" i="28"/>
  <c r="F33" i="28"/>
  <c r="F34" i="28"/>
  <c r="F35" i="28"/>
  <c r="F36" i="28"/>
  <c r="F37" i="28"/>
  <c r="F38" i="28"/>
  <c r="F41" i="28"/>
  <c r="F42" i="28"/>
  <c r="F43" i="28"/>
  <c r="F44" i="28"/>
  <c r="F45" i="28"/>
  <c r="F46" i="28"/>
  <c r="F47" i="28"/>
  <c r="F48" i="28"/>
  <c r="F50" i="28"/>
  <c r="F51" i="28"/>
  <c r="F52" i="28"/>
  <c r="F53" i="28"/>
  <c r="F54" i="28"/>
  <c r="F55" i="28"/>
  <c r="F15" i="28"/>
  <c r="F14" i="28"/>
  <c r="F13" i="28" s="1"/>
  <c r="F12" i="28"/>
  <c r="F11" i="28" s="1"/>
  <c r="F16" i="28" l="1"/>
  <c r="L22" i="27"/>
  <c r="L24" i="27"/>
  <c r="L31" i="27"/>
  <c r="L32" i="27"/>
  <c r="L33" i="27"/>
  <c r="L27" i="27"/>
  <c r="L36" i="27"/>
  <c r="L37" i="27"/>
  <c r="L38" i="27"/>
  <c r="L39" i="27"/>
  <c r="L40" i="27"/>
  <c r="L41" i="27"/>
  <c r="L43" i="27"/>
  <c r="L46" i="27"/>
  <c r="L47" i="27"/>
  <c r="L50" i="27"/>
  <c r="L51" i="27"/>
  <c r="L53" i="27"/>
  <c r="L56" i="27"/>
  <c r="L57" i="27"/>
  <c r="L59" i="27"/>
  <c r="L60" i="27"/>
  <c r="K23" i="27"/>
  <c r="K42" i="27"/>
  <c r="L42" i="27" s="1"/>
  <c r="K20" i="27"/>
  <c r="K29" i="27"/>
  <c r="L29" i="27" s="1"/>
  <c r="K30" i="27"/>
  <c r="L30" i="27" s="1"/>
  <c r="K19" i="27"/>
  <c r="K28" i="27"/>
  <c r="L28" i="27" s="1"/>
  <c r="K26" i="27"/>
  <c r="K35" i="27"/>
  <c r="L35" i="27" s="1"/>
  <c r="K34" i="27"/>
  <c r="L34" i="27" s="1"/>
  <c r="K25" i="27"/>
  <c r="K52" i="27"/>
  <c r="L52" i="27" s="1"/>
  <c r="K49" i="27"/>
  <c r="L49" i="27" s="1"/>
  <c r="K48" i="27"/>
  <c r="L48" i="27" s="1"/>
  <c r="K55" i="27"/>
  <c r="L55" i="27" s="1"/>
  <c r="K58" i="27"/>
  <c r="L58" i="27" s="1"/>
  <c r="E31" i="28"/>
  <c r="Y31" i="28" s="1"/>
  <c r="K18" i="27" l="1"/>
  <c r="L23" i="27"/>
  <c r="L21" i="27" s="1"/>
  <c r="L15" i="27" s="1"/>
  <c r="K21" i="27"/>
  <c r="L26" i="27"/>
  <c r="L25" i="27"/>
  <c r="AA31" i="28"/>
  <c r="K15" i="27" l="1"/>
  <c r="G31" i="28"/>
  <c r="R36" i="27" s="1"/>
  <c r="N36" i="27" s="1"/>
  <c r="S36" i="27" s="1"/>
  <c r="T36" i="27" s="1"/>
  <c r="E25" i="28"/>
  <c r="H25" i="28" s="1"/>
  <c r="H16" i="28" s="1"/>
  <c r="H10" i="28" s="1"/>
  <c r="E19" i="28"/>
  <c r="E26" i="28"/>
  <c r="E27" i="28"/>
  <c r="U27" i="28" s="1"/>
  <c r="E20" i="28"/>
  <c r="Y20" i="28" s="1"/>
  <c r="AA20" i="28"/>
  <c r="E28" i="28"/>
  <c r="Y28" i="28" s="1"/>
  <c r="AA28" i="28"/>
  <c r="E29" i="28"/>
  <c r="Y29" i="28" s="1"/>
  <c r="AA29" i="28"/>
  <c r="E30" i="28"/>
  <c r="H30" i="28" s="1"/>
  <c r="E21" i="28"/>
  <c r="Y21" i="28" s="1"/>
  <c r="AA21" i="28"/>
  <c r="E22" i="28"/>
  <c r="Y22" i="28" s="1"/>
  <c r="AA22" i="28"/>
  <c r="E32" i="28"/>
  <c r="E33" i="28"/>
  <c r="E34" i="28"/>
  <c r="E35" i="28"/>
  <c r="E36" i="28"/>
  <c r="Y36" i="28" s="1"/>
  <c r="AA36" i="28"/>
  <c r="E37" i="28"/>
  <c r="Y37" i="28" s="1"/>
  <c r="AA37" i="28"/>
  <c r="E38" i="28"/>
  <c r="Y38" i="28" s="1"/>
  <c r="AA38" i="28"/>
  <c r="E41" i="28"/>
  <c r="E42" i="28"/>
  <c r="E43" i="28"/>
  <c r="E44" i="28"/>
  <c r="U44" i="28" s="1"/>
  <c r="E45" i="28"/>
  <c r="U45" i="28" s="1"/>
  <c r="E46" i="28"/>
  <c r="U46" i="28" s="1"/>
  <c r="E47" i="28"/>
  <c r="U47" i="28" s="1"/>
  <c r="E48" i="28"/>
  <c r="U48" i="28" s="1"/>
  <c r="E50" i="28"/>
  <c r="E51" i="28"/>
  <c r="Y51" i="28" s="1"/>
  <c r="AA51" i="28"/>
  <c r="E52" i="28"/>
  <c r="Y52" i="28" s="1"/>
  <c r="AA52" i="28"/>
  <c r="E53" i="28"/>
  <c r="E54" i="28"/>
  <c r="E55" i="28"/>
  <c r="Y55" i="28" s="1"/>
  <c r="AA55" i="28"/>
  <c r="U16" i="28" l="1"/>
  <c r="U10" i="28" s="1"/>
  <c r="Y19" i="28"/>
  <c r="J19" i="28"/>
  <c r="G51" i="28"/>
  <c r="R56" i="27" s="1"/>
  <c r="N56" i="27" s="1"/>
  <c r="S56" i="27" s="1"/>
  <c r="T56" i="27" s="1"/>
  <c r="K19" i="28"/>
  <c r="I53" i="28"/>
  <c r="J53" i="28"/>
  <c r="I41" i="28"/>
  <c r="J41" i="28"/>
  <c r="G55" i="28"/>
  <c r="G52" i="28"/>
  <c r="R57" i="27" s="1"/>
  <c r="N57" i="27" s="1"/>
  <c r="S57" i="27" s="1"/>
  <c r="T57" i="27" s="1"/>
  <c r="I43" i="28"/>
  <c r="J43" i="28"/>
  <c r="I32" i="28"/>
  <c r="J32" i="28"/>
  <c r="G21" i="28"/>
  <c r="R26" i="27" s="1"/>
  <c r="N26" i="27" s="1"/>
  <c r="S26" i="27" s="1"/>
  <c r="T26" i="27" s="1"/>
  <c r="I34" i="28"/>
  <c r="J34" i="28"/>
  <c r="I50" i="28"/>
  <c r="J50" i="28"/>
  <c r="I33" i="28"/>
  <c r="J33" i="28"/>
  <c r="G29" i="28"/>
  <c r="R34" i="27" s="1"/>
  <c r="N34" i="27" s="1"/>
  <c r="S34" i="27" s="1"/>
  <c r="T34" i="27" s="1"/>
  <c r="G20" i="28"/>
  <c r="R25" i="27" s="1"/>
  <c r="N25" i="27" s="1"/>
  <c r="S25" i="27" s="1"/>
  <c r="T25" i="27" s="1"/>
  <c r="I54" i="28"/>
  <c r="J54" i="28"/>
  <c r="I42" i="28"/>
  <c r="J42" i="28"/>
  <c r="I35" i="28"/>
  <c r="J35" i="28"/>
  <c r="I26" i="28"/>
  <c r="J26" i="28"/>
  <c r="G36" i="28"/>
  <c r="R41" i="27" s="1"/>
  <c r="N41" i="27" s="1"/>
  <c r="G38" i="28"/>
  <c r="R43" i="27" s="1"/>
  <c r="N43" i="27" s="1"/>
  <c r="S43" i="27" s="1"/>
  <c r="T43" i="27" s="1"/>
  <c r="G28" i="28"/>
  <c r="R33" i="27" s="1"/>
  <c r="N33" i="27" s="1"/>
  <c r="S33" i="27" s="1"/>
  <c r="T33" i="27" s="1"/>
  <c r="G37" i="28"/>
  <c r="R42" i="27" s="1"/>
  <c r="N42" i="27" s="1"/>
  <c r="S42" i="27" s="1"/>
  <c r="T42" i="27" s="1"/>
  <c r="G22" i="28"/>
  <c r="R27" i="27" s="1"/>
  <c r="N27" i="27" s="1"/>
  <c r="S27" i="27" s="1"/>
  <c r="T27" i="27" s="1"/>
  <c r="R60" i="27"/>
  <c r="N60" i="27" s="1"/>
  <c r="S60" i="27" s="1"/>
  <c r="T60" i="27" s="1"/>
  <c r="K54" i="28"/>
  <c r="Y54" i="28"/>
  <c r="Y50" i="28"/>
  <c r="K50" i="28"/>
  <c r="Y47" i="28"/>
  <c r="T47" i="28"/>
  <c r="AA47" i="28"/>
  <c r="T45" i="28"/>
  <c r="AA45" i="28"/>
  <c r="Y45" i="28"/>
  <c r="Y43" i="28"/>
  <c r="K43" i="28"/>
  <c r="K41" i="28"/>
  <c r="Y41" i="28"/>
  <c r="Y35" i="28"/>
  <c r="K35" i="28"/>
  <c r="K33" i="28"/>
  <c r="Y33" i="28"/>
  <c r="Y30" i="28"/>
  <c r="AA30" i="28"/>
  <c r="T27" i="28"/>
  <c r="Y27" i="28"/>
  <c r="Y53" i="28"/>
  <c r="K53" i="28"/>
  <c r="T48" i="28"/>
  <c r="Y48" i="28"/>
  <c r="AA48" i="28"/>
  <c r="T46" i="28"/>
  <c r="Y46" i="28"/>
  <c r="AA46" i="28"/>
  <c r="AA44" i="28"/>
  <c r="T44" i="28"/>
  <c r="Y44" i="28"/>
  <c r="K42" i="28"/>
  <c r="Y42" i="28"/>
  <c r="K34" i="28"/>
  <c r="Y34" i="28"/>
  <c r="Y32" i="28"/>
  <c r="K32" i="28"/>
  <c r="K26" i="28"/>
  <c r="Y26" i="28"/>
  <c r="Y25" i="28"/>
  <c r="T16" i="28" l="1"/>
  <c r="T10" i="28" s="1"/>
  <c r="G46" i="28"/>
  <c r="R51" i="27" s="1"/>
  <c r="N51" i="27" s="1"/>
  <c r="S51" i="27" s="1"/>
  <c r="T51" i="27" s="1"/>
  <c r="AA19" i="28"/>
  <c r="G45" i="28"/>
  <c r="R50" i="27" s="1"/>
  <c r="N50" i="27" s="1"/>
  <c r="S50" i="27" s="1"/>
  <c r="T50" i="27" s="1"/>
  <c r="G30" i="28"/>
  <c r="R35" i="27" s="1"/>
  <c r="N35" i="27" s="1"/>
  <c r="S35" i="27" s="1"/>
  <c r="T35" i="27" s="1"/>
  <c r="G48" i="28"/>
  <c r="R53" i="27" s="1"/>
  <c r="N53" i="27" s="1"/>
  <c r="S53" i="27" s="1"/>
  <c r="T53" i="27" s="1"/>
  <c r="G47" i="28"/>
  <c r="R52" i="27" s="1"/>
  <c r="N52" i="27" s="1"/>
  <c r="S52" i="27" s="1"/>
  <c r="T52" i="27" s="1"/>
  <c r="G44" i="28"/>
  <c r="R49" i="27" s="1"/>
  <c r="N49" i="27" s="1"/>
  <c r="S49" i="27" s="1"/>
  <c r="T49" i="27" s="1"/>
  <c r="S41" i="27"/>
  <c r="T41" i="27" s="1"/>
  <c r="AA53" i="28"/>
  <c r="G53" i="28" s="1"/>
  <c r="R58" i="27" s="1"/>
  <c r="N58" i="27" s="1"/>
  <c r="S58" i="27" s="1"/>
  <c r="T58" i="27" s="1"/>
  <c r="AA26" i="28"/>
  <c r="AA32" i="28"/>
  <c r="AA33" i="28"/>
  <c r="AA41" i="28"/>
  <c r="G41" i="28" s="1"/>
  <c r="AA43" i="28"/>
  <c r="G43" i="28" s="1"/>
  <c r="AA54" i="28"/>
  <c r="AA25" i="28"/>
  <c r="G25" i="28" s="1"/>
  <c r="AA34" i="28"/>
  <c r="G34" i="28" s="1"/>
  <c r="AA42" i="28"/>
  <c r="AA27" i="28"/>
  <c r="AA35" i="28"/>
  <c r="G35" i="28" s="1"/>
  <c r="AA50" i="28"/>
  <c r="G19" i="28" l="1"/>
  <c r="R40" i="27"/>
  <c r="N40" i="27" s="1"/>
  <c r="S40" i="27" s="1"/>
  <c r="T40" i="27" s="1"/>
  <c r="G33" i="28"/>
  <c r="R38" i="27" s="1"/>
  <c r="N38" i="27" s="1"/>
  <c r="S38" i="27" s="1"/>
  <c r="T38" i="27" s="1"/>
  <c r="R39" i="27"/>
  <c r="N39" i="27" s="1"/>
  <c r="S39" i="27" s="1"/>
  <c r="T39" i="27" s="1"/>
  <c r="R48" i="27"/>
  <c r="N48" i="27" s="1"/>
  <c r="S48" i="27" s="1"/>
  <c r="T48" i="27" s="1"/>
  <c r="G54" i="28"/>
  <c r="R59" i="27" s="1"/>
  <c r="N59" i="27" s="1"/>
  <c r="S59" i="27" s="1"/>
  <c r="T59" i="27" s="1"/>
  <c r="G26" i="28"/>
  <c r="R31" i="27" s="1"/>
  <c r="N31" i="27" s="1"/>
  <c r="S31" i="27" s="1"/>
  <c r="T31" i="27" s="1"/>
  <c r="R46" i="27"/>
  <c r="N46" i="27" s="1"/>
  <c r="S46" i="27" s="1"/>
  <c r="T46" i="27" s="1"/>
  <c r="R30" i="27"/>
  <c r="N30" i="27" s="1"/>
  <c r="S30" i="27" s="1"/>
  <c r="T30" i="27" s="1"/>
  <c r="G50" i="28"/>
  <c r="R55" i="27" s="1"/>
  <c r="N55" i="27" s="1"/>
  <c r="S55" i="27" s="1"/>
  <c r="T55" i="27" s="1"/>
  <c r="G42" i="28"/>
  <c r="R47" i="27" s="1"/>
  <c r="N47" i="27" s="1"/>
  <c r="S47" i="27" s="1"/>
  <c r="T47" i="27" s="1"/>
  <c r="G32" i="28"/>
  <c r="R37" i="27" s="1"/>
  <c r="N37" i="27" s="1"/>
  <c r="S37" i="27" s="1"/>
  <c r="T37" i="27" s="1"/>
  <c r="G27" i="28"/>
  <c r="R32" i="27" s="1"/>
  <c r="N32" i="27" s="1"/>
  <c r="S32" i="27" s="1"/>
  <c r="T32" i="27" s="1"/>
  <c r="R24" i="27" l="1"/>
  <c r="I15" i="27"/>
  <c r="N24" i="27" l="1"/>
  <c r="S24" i="27" s="1"/>
  <c r="T24" i="27" s="1"/>
  <c r="E15" i="28" l="1"/>
  <c r="Y15" i="28" s="1"/>
  <c r="E14" i="28" l="1"/>
  <c r="E13" i="28" s="1"/>
  <c r="Y14" i="28" l="1"/>
  <c r="Y13" i="28" s="1"/>
  <c r="AA14" i="28"/>
  <c r="AA13" i="28" s="1"/>
  <c r="AA15" i="28"/>
  <c r="G15" i="28" s="1"/>
  <c r="R20" i="27" s="1"/>
  <c r="N20" i="27" s="1"/>
  <c r="S20" i="27" s="1"/>
  <c r="T20" i="27" s="1"/>
  <c r="V20" i="27" s="1"/>
  <c r="G14" i="28" l="1"/>
  <c r="G13" i="28" s="1"/>
  <c r="R19" i="27" l="1"/>
  <c r="R18" i="27" s="1"/>
  <c r="N19" i="27" l="1"/>
  <c r="N18" i="27" s="1"/>
  <c r="S19" i="27" l="1"/>
  <c r="T19" i="27" l="1"/>
  <c r="T18" i="27" s="1"/>
  <c r="S18" i="27"/>
  <c r="V19" i="27"/>
  <c r="V18" i="27" s="1"/>
  <c r="W18" i="27" s="1"/>
  <c r="AA24" i="28"/>
  <c r="E18" i="28"/>
  <c r="Y18" i="28" s="1"/>
  <c r="E23" i="28"/>
  <c r="E24" i="28"/>
  <c r="Y24" i="28" s="1"/>
  <c r="E12" i="28"/>
  <c r="E11" i="28" s="1"/>
  <c r="G24" i="28" l="1"/>
  <c r="Y12" i="28"/>
  <c r="Y11" i="28" s="1"/>
  <c r="I23" i="28"/>
  <c r="J23" i="28"/>
  <c r="I18" i="28"/>
  <c r="J18" i="28"/>
  <c r="K18" i="28"/>
  <c r="Y23" i="28"/>
  <c r="K23" i="28"/>
  <c r="G12" i="28" l="1"/>
  <c r="G11" i="28" s="1"/>
  <c r="AA23" i="28"/>
  <c r="AA18" i="28"/>
  <c r="R29" i="27"/>
  <c r="N29" i="27" s="1"/>
  <c r="S29" i="27" s="1"/>
  <c r="T29" i="27" s="1"/>
  <c r="V29" i="27" s="1"/>
  <c r="F10" i="28"/>
  <c r="R17" i="27" l="1"/>
  <c r="R16" i="27" s="1"/>
  <c r="G23" i="28"/>
  <c r="R28" i="27" s="1"/>
  <c r="N28" i="27" s="1"/>
  <c r="S28" i="27" s="1"/>
  <c r="T28" i="27" s="1"/>
  <c r="V28" i="27" s="1"/>
  <c r="G18" i="28"/>
  <c r="R23" i="27" s="1"/>
  <c r="N23" i="27" s="1"/>
  <c r="S23" i="27" s="1"/>
  <c r="T23" i="27" s="1"/>
  <c r="V23" i="27" s="1"/>
  <c r="N17" i="27" l="1"/>
  <c r="N16" i="27" s="1"/>
  <c r="E17" i="28"/>
  <c r="E16" i="28" s="1"/>
  <c r="E10" i="28" s="1"/>
  <c r="J17" i="28" l="1"/>
  <c r="J16" i="28" s="1"/>
  <c r="J10" i="28" s="1"/>
  <c r="Y17" i="28"/>
  <c r="Y16" i="28" s="1"/>
  <c r="Y10" i="28" s="1"/>
  <c r="I17" i="28"/>
  <c r="I16" i="28" s="1"/>
  <c r="I10" i="28" s="1"/>
  <c r="K17" i="28"/>
  <c r="K16" i="28" s="1"/>
  <c r="K10" i="28" s="1"/>
  <c r="AA17" i="28" l="1"/>
  <c r="AA16" i="28" s="1"/>
  <c r="AA10" i="28" s="1"/>
  <c r="S17" i="27"/>
  <c r="S16" i="27" s="1"/>
  <c r="T17" i="27" l="1"/>
  <c r="T16" i="27" s="1"/>
  <c r="G17" i="28"/>
  <c r="G16" i="28" s="1"/>
  <c r="AC16" i="28" l="1"/>
  <c r="V17" i="27"/>
  <c r="V16" i="27" s="1"/>
  <c r="W16" i="27" s="1"/>
  <c r="R22" i="27"/>
  <c r="N22" i="27" l="1"/>
  <c r="N21" i="27" s="1"/>
  <c r="N15" i="27" s="1"/>
  <c r="R21" i="27"/>
  <c r="R15" i="27" s="1"/>
  <c r="Z18" i="27"/>
  <c r="S22" i="27" l="1"/>
  <c r="T22" i="27" l="1"/>
  <c r="S21" i="27"/>
  <c r="S15" i="27" s="1"/>
  <c r="Z16" i="27"/>
  <c r="Z21" i="27" s="1"/>
  <c r="V22" i="27" l="1"/>
  <c r="V21" i="27" s="1"/>
  <c r="T21" i="27"/>
  <c r="T15" i="27" s="1"/>
  <c r="W21" i="27" l="1"/>
  <c r="V15" i="27"/>
  <c r="W15" i="27" s="1"/>
  <c r="G10" i="28" l="1"/>
</calcChain>
</file>

<file path=xl/sharedStrings.xml><?xml version="1.0" encoding="utf-8"?>
<sst xmlns="http://schemas.openxmlformats.org/spreadsheetml/2006/main" count="297" uniqueCount="120">
  <si>
    <t>№ п\п</t>
  </si>
  <si>
    <t>Адрес многоквартирного дома</t>
  </si>
  <si>
    <t>ремонт фасада</t>
  </si>
  <si>
    <t>руб.</t>
  </si>
  <si>
    <t>ед.</t>
  </si>
  <si>
    <t>кв.м</t>
  </si>
  <si>
    <t>куб.м</t>
  </si>
  <si>
    <t>№ п/п</t>
  </si>
  <si>
    <t>Стоимость капитального ремонта</t>
  </si>
  <si>
    <t>всего</t>
  </si>
  <si>
    <t>чел.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</si>
  <si>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</si>
  <si>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</si>
  <si>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</si>
  <si>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</si>
  <si>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</si>
  <si>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Предельная стоимость капитального ремонта 1кв.м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</si>
  <si>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</si>
  <si>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</si>
  <si>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</si>
  <si>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</si>
  <si>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</si>
  <si>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</si>
  <si>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собственников помещений в МКД</t>
  </si>
  <si>
    <t>руб./к в.м</t>
  </si>
  <si>
    <t>Краткосрочный план</t>
  </si>
  <si>
    <t>реализации региональной программы капитального ремонта общего имущества в многоквартирных домах</t>
  </si>
  <si>
    <t>Перечень многоквартирных домов, которые подлежат капитальному ремонту в рамках реализации региональной</t>
  </si>
  <si>
    <t>Удельная стоимостиь капитального ремонта 1 кв.м общей площади помещений МКД</t>
  </si>
  <si>
    <t>Х</t>
  </si>
  <si>
    <t>Общая площадь МКД</t>
  </si>
  <si>
    <t>за счет средств бюджета субъекта Российской Федерации</t>
  </si>
  <si>
    <t>за счет средств местного бюджета</t>
  </si>
  <si>
    <t>Адрес многоквартирного дома (далее - МКД)</t>
  </si>
  <si>
    <t>Количество жителей, зарегестрированных в МКД      на дату утверждения краткосрочного плана</t>
  </si>
  <si>
    <t>кв.м.</t>
  </si>
  <si>
    <t>в том числе жилых помещений, находящихся в муниципальной собственности</t>
  </si>
  <si>
    <t>Ожидаемое начисление</t>
  </si>
  <si>
    <t>Итого за 2023г.</t>
  </si>
  <si>
    <t>Итого за 2023-2025гг.</t>
  </si>
  <si>
    <t>Итого за 2024г.</t>
  </si>
  <si>
    <t>Итого за 2025г.</t>
  </si>
  <si>
    <t>кровля</t>
  </si>
  <si>
    <t>вод,тепл,кан</t>
  </si>
  <si>
    <t>фасад</t>
  </si>
  <si>
    <t>электроснабж</t>
  </si>
  <si>
    <t>панель</t>
  </si>
  <si>
    <t>пгт Зеленогорский, 
ул. Центральная, д.10а</t>
  </si>
  <si>
    <t>пгт Зеленогорский, 
ул. Центральная, д.19</t>
  </si>
  <si>
    <t>п. Зеленовский, 
ул. Советская, д.19</t>
  </si>
  <si>
    <t>п. Зеленовский, 
ул. Школьная, д.16а</t>
  </si>
  <si>
    <t>пгт Зеленогорский, 
ул. Центральная, д.12</t>
  </si>
  <si>
    <t>пгт Зеленогорский, 
ул. Центральная, д.16</t>
  </si>
  <si>
    <t>кирпич</t>
  </si>
  <si>
    <t>блок</t>
  </si>
  <si>
    <t>пгт Зеленогорский, 
ул. Центральная, д.5</t>
  </si>
  <si>
    <t>пгт Зеленогорский, 
ул. Центральная, д.17</t>
  </si>
  <si>
    <t>пгт Зеленогорский, 
ул. Центральная, д.2</t>
  </si>
  <si>
    <t>пгт Зеленогорский, 
ул. Центральная, д.20</t>
  </si>
  <si>
    <t>пгт Зеленогорский, 
ул. Центральная, д.21</t>
  </si>
  <si>
    <t>пгт Зеленогорский, 
ул. Центральная, д.4а</t>
  </si>
  <si>
    <t>пгт Зеленогорский,
ул. Центральная, д.60</t>
  </si>
  <si>
    <t>пгт Зеленогорский, 
ул. Центральная, д.67</t>
  </si>
  <si>
    <t>пгт Зеленогорский, 
ул. Центральная, д.80</t>
  </si>
  <si>
    <t>пгт Зеленогорский, 
ул. Центральная, д.81</t>
  </si>
  <si>
    <t>пгт Зеленогорский, 
ул. Центральная, д.82</t>
  </si>
  <si>
    <t>пгт Зеленогорский, 
ул. Центральная, д.9</t>
  </si>
  <si>
    <t>пгт Крапивинский, 
ул. Кирова, д.18</t>
  </si>
  <si>
    <t>пгт Крапивинский, 
ул. Кирова, д.20</t>
  </si>
  <si>
    <t>пгт Крапивинский, 
ул. Кирова, д.28</t>
  </si>
  <si>
    <t>пгт Крапивинский, 
ул. Кирова, д.30</t>
  </si>
  <si>
    <t>пгт Крапивинский, 
ул. Островского, д.91</t>
  </si>
  <si>
    <t>пгт Крапивинский, 
ул. Островского, д. 93</t>
  </si>
  <si>
    <t>пгт Крапивинский, 
ул. Островского, д. 99</t>
  </si>
  <si>
    <t>пгт Крапивинский, 
ул. Рекордная, д.15</t>
  </si>
  <si>
    <t>пгт Крапивинский, 
ул. Рекордная, д.17</t>
  </si>
  <si>
    <t>пгт Крапивинский, 
ул. Рекордная, д.9</t>
  </si>
  <si>
    <t>пгт Крапивинский, 
ул. Юбилейная, д.1</t>
  </si>
  <si>
    <t>пгт Крапивинский, 
ул. Юбилейная, д.3</t>
  </si>
  <si>
    <t>пгт Крапивинский, 
ул. Юбилейная, д.5</t>
  </si>
  <si>
    <t>пгт Крапивинский, 
ул. Юбилейная, д.7</t>
  </si>
  <si>
    <t>пгт Крапивинский, 
ул. Юбилейная, д.9</t>
  </si>
  <si>
    <t>с. Банново,
ул. Центральная, д.4</t>
  </si>
  <si>
    <t>с. Барачаты, 
ул. Октябрьская, д.1</t>
  </si>
  <si>
    <t>с. Барачаты, 
ул. Октябрьская, д.3</t>
  </si>
  <si>
    <t>с. Борисово, 
ул. Геологов, д.1</t>
  </si>
  <si>
    <t>с. Борисово, 
ул. Геологов, д.3</t>
  </si>
  <si>
    <t>с. Борисово, 
ул. Геологов, д.5</t>
  </si>
  <si>
    <t>с. Борисово, 
ул. Санаторная, д.1</t>
  </si>
  <si>
    <t>пгт Крапивинский, 
ул. Островского, д.93</t>
  </si>
  <si>
    <t>пгт Крапивинский, 
ул. Рекордная, д.11</t>
  </si>
  <si>
    <t>пгт Крапивинский, 
ул. Рекордная, д.13</t>
  </si>
  <si>
    <t>12а</t>
  </si>
  <si>
    <t>предельник</t>
  </si>
  <si>
    <t>Кемеровской области-Кузбасса на 2014-2043 годы на 2023-2025 годы</t>
  </si>
  <si>
    <t>лимиты</t>
  </si>
  <si>
    <t xml:space="preserve">остаток </t>
  </si>
  <si>
    <t>лимит с учётом отстатко предыдущих лет</t>
  </si>
  <si>
    <r>
      <t>Реестр многоквартирных домов, которые подлежат капитальному ремонту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в рамках реализации региональной программы капитального ремонта в многоквартирных домах Крапивинского муниципального округа Кемеровской области-Кузбасса на 2014-2043 годы, на 2023-2025 годы</t>
    </r>
  </si>
  <si>
    <t>программы капитального ремонта общего имущества в многоквартирных домах Крапивинского муниципального округа Кемеровской области-Кузбасса на 2014-2043 годы, на 2023-2025 годы</t>
  </si>
  <si>
    <t>Площадь всех жилых помеще- ний (квартир) и нежилых помещений в МКД</t>
  </si>
  <si>
    <t>Год ввода в эксплуатацию</t>
  </si>
  <si>
    <t>ремонт крыш</t>
  </si>
  <si>
    <t>ремонт внутридомовых инженерных систем</t>
  </si>
  <si>
    <t xml:space="preserve"> электро снабжения</t>
  </si>
  <si>
    <t>тепло снабжения</t>
  </si>
  <si>
    <t>Виды услуг и (или) работ, предусмотренные частями 1, 2 статьи 166 Жилищного кодекса Российской Федерации, абзацем вторым пункта 4 статьи 10 Закона Кемеровской области от 26.12.2013 № 141-03 «О капитальном ремонте общего имущества в многоквартирных домах»</t>
  </si>
  <si>
    <t>услуги по строительному контролю</t>
  </si>
  <si>
    <t>разработка проектной документа- ции (в случае, если подготовка проектной документа- ции необходима в соответствии с законодательством)</t>
  </si>
  <si>
    <t>ремонт фундамента МКД</t>
  </si>
  <si>
    <t>ремонт подваль- ных помещений, относящихся к общему имуществу в МКД</t>
  </si>
  <si>
    <t>ремонт, замена, модернизация лифтов, ремонт лифтовых шахт, машинных и блочных помещений</t>
  </si>
  <si>
    <t>Стоимость капитального ремонта,  всего</t>
  </si>
  <si>
    <t xml:space="preserve">Приложение </t>
  </si>
  <si>
    <t>Форма № 1</t>
  </si>
  <si>
    <t>Форма № 2</t>
  </si>
  <si>
    <t>газо снабжения</t>
  </si>
  <si>
    <t>водо отведения</t>
  </si>
  <si>
    <t>водо снабжения</t>
  </si>
  <si>
    <r>
      <t>К постановлению от</t>
    </r>
    <r>
      <rPr>
        <u/>
        <sz val="11"/>
        <color theme="1"/>
        <rFont val="Times New Roman"/>
        <family val="1"/>
        <charset val="204"/>
      </rPr>
      <t xml:space="preserve"> 28.10.2022</t>
    </r>
    <r>
      <rPr>
        <sz val="11"/>
        <color theme="1"/>
        <rFont val="Times New Roman"/>
        <family val="1"/>
        <charset val="204"/>
      </rPr>
      <t xml:space="preserve"> №</t>
    </r>
    <r>
      <rPr>
        <u/>
        <sz val="11"/>
        <color theme="1"/>
        <rFont val="Times New Roman"/>
        <family val="1"/>
        <charset val="204"/>
      </rPr>
      <t xml:space="preserve"> 1475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</si>
</sst>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b/>
      <sz val="8"/>
      <color theme="8" tint="-0.249977111117893"/>
      <name val="Times New Roman"/>
      <family val="1"/>
      <charset val="204"/>
    </font>
    <font>
      <sz val="8"/>
      <color theme="8" tint="-0.249977111117893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8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/>
    <xf numFmtId="165" fontId="1" fillId="0" borderId="0" xfId="0" applyNumberFormat="1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3" fontId="19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7" xfId="0" applyNumberFormat="1" applyFont="1" applyFill="1" applyBorder="1" applyAlignment="1">
      <alignment horizontal="center" vertical="center" textRotation="90" wrapText="1"/>
    </xf>
    <xf numFmtId="4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6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</cellXfs>
  <cellStyles count="4">
    <cellStyle name="Excel Built-in Normal" xfId="2" xr:uid="{00000000-0005-0000-0000-000000000000}"/>
    <cellStyle name="Обычный" xfId="0" builtinId="0"/>
    <cellStyle name="Обычный 2" xfId="1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Z60"/>
  <sheetViews>
    <sheetView tabSelected="1" zoomScale="88" zoomScaleNormal="88" workbookViewId="0">
      <selection activeCell="AG10" sqref="AG10"/>
    </sheetView>
  </sheetViews>
  <sheetFormatPr defaultColWidth="9.140625" defaultRowHeight="15" x14ac:dyDescent="0.25"/>
  <cols>
    <col min="1" max="1" width="5.5703125" style="16" customWidth="1"/>
    <col min="2" max="2" width="5.42578125" style="10" customWidth="1"/>
    <col min="3" max="3" width="25.28515625" style="10" customWidth="1"/>
    <col min="4" max="4" width="6.28515625" style="10" customWidth="1"/>
    <col min="5" max="5" width="5.85546875" style="10" customWidth="1"/>
    <col min="6" max="6" width="10.85546875" style="10" customWidth="1"/>
    <col min="7" max="7" width="3.7109375" style="10" customWidth="1"/>
    <col min="8" max="8" width="4.28515625" style="10" customWidth="1"/>
    <col min="9" max="9" width="14.140625" style="10" customWidth="1"/>
    <col min="10" max="10" width="14.7109375" style="10" customWidth="1"/>
    <col min="11" max="11" width="13.5703125" style="10" hidden="1" customWidth="1"/>
    <col min="12" max="12" width="14.140625" style="10" hidden="1" customWidth="1"/>
    <col min="13" max="13" width="13.5703125" style="10" customWidth="1"/>
    <col min="14" max="14" width="18.42578125" style="10" customWidth="1"/>
    <col min="15" max="15" width="7" style="10" customWidth="1"/>
    <col min="16" max="17" width="12.42578125" style="10" customWidth="1"/>
    <col min="18" max="18" width="18.42578125" style="10" customWidth="1"/>
    <col min="19" max="19" width="14" style="10" customWidth="1"/>
    <col min="20" max="20" width="15" style="11" customWidth="1"/>
    <col min="21" max="21" width="12.28515625" style="10" customWidth="1"/>
    <col min="22" max="22" width="19.140625" style="19" hidden="1" customWidth="1"/>
    <col min="23" max="23" width="17.140625" style="10" hidden="1" customWidth="1"/>
    <col min="24" max="24" width="12.85546875" style="10" hidden="1" customWidth="1"/>
    <col min="25" max="25" width="14.42578125" style="10" hidden="1" customWidth="1"/>
    <col min="26" max="26" width="12.5703125" style="10" hidden="1" customWidth="1"/>
    <col min="27" max="29" width="0" style="10" hidden="1" customWidth="1"/>
    <col min="30" max="16384" width="9.140625" style="10"/>
  </cols>
  <sheetData>
    <row r="1" spans="1:2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14" t="s">
        <v>113</v>
      </c>
      <c r="T1" s="114"/>
      <c r="U1" s="114"/>
    </row>
    <row r="2" spans="1:26" ht="15" customHeight="1" x14ac:dyDescent="0.25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125" t="s">
        <v>119</v>
      </c>
      <c r="S2" s="125"/>
      <c r="T2" s="125"/>
      <c r="U2" s="125"/>
    </row>
    <row r="3" spans="1:26" ht="15.75" x14ac:dyDescent="0.25">
      <c r="B3" s="108" t="s">
        <v>25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6" ht="15.75" x14ac:dyDescent="0.25">
      <c r="B4" s="108" t="s">
        <v>26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6" ht="15.75" x14ac:dyDescent="0.25">
      <c r="B5" s="108" t="s">
        <v>94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6" x14ac:dyDescent="0.25">
      <c r="B6" s="5"/>
      <c r="C6" s="6"/>
      <c r="D6" s="5"/>
      <c r="E6" s="5"/>
      <c r="F6" s="6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113" t="s">
        <v>114</v>
      </c>
      <c r="U6" s="113"/>
    </row>
    <row r="7" spans="1:26" ht="15" customHeight="1" x14ac:dyDescent="0.25">
      <c r="B7" s="120" t="s">
        <v>27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26" ht="15" customHeight="1" x14ac:dyDescent="0.25">
      <c r="B8" s="120" t="s">
        <v>99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6" ht="15" customHeight="1" x14ac:dyDescent="0.25">
      <c r="B9" s="3"/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7"/>
    </row>
    <row r="10" spans="1:26" ht="20.45" customHeight="1" x14ac:dyDescent="0.25">
      <c r="A10" s="90" t="s">
        <v>7</v>
      </c>
      <c r="B10" s="98" t="s">
        <v>7</v>
      </c>
      <c r="C10" s="98" t="s">
        <v>33</v>
      </c>
      <c r="D10" s="101" t="s">
        <v>11</v>
      </c>
      <c r="E10" s="102"/>
      <c r="F10" s="98" t="s">
        <v>12</v>
      </c>
      <c r="G10" s="96" t="s">
        <v>13</v>
      </c>
      <c r="H10" s="96" t="s">
        <v>14</v>
      </c>
      <c r="I10" s="98" t="s">
        <v>15</v>
      </c>
      <c r="J10" s="105" t="s">
        <v>100</v>
      </c>
      <c r="K10" s="88"/>
      <c r="L10" s="89"/>
      <c r="M10" s="96" t="s">
        <v>34</v>
      </c>
      <c r="N10" s="110" t="s">
        <v>8</v>
      </c>
      <c r="O10" s="111"/>
      <c r="P10" s="111"/>
      <c r="Q10" s="111"/>
      <c r="R10" s="112"/>
      <c r="S10" s="96" t="s">
        <v>28</v>
      </c>
      <c r="T10" s="93" t="s">
        <v>16</v>
      </c>
      <c r="U10" s="98" t="s">
        <v>17</v>
      </c>
    </row>
    <row r="11" spans="1:26" ht="15" customHeight="1" x14ac:dyDescent="0.25">
      <c r="A11" s="91"/>
      <c r="B11" s="117"/>
      <c r="C11" s="117"/>
      <c r="D11" s="96" t="s">
        <v>18</v>
      </c>
      <c r="E11" s="96" t="s">
        <v>19</v>
      </c>
      <c r="F11" s="117"/>
      <c r="G11" s="100"/>
      <c r="H11" s="100"/>
      <c r="I11" s="106"/>
      <c r="J11" s="106"/>
      <c r="K11" s="103" t="s">
        <v>36</v>
      </c>
      <c r="L11" s="96" t="s">
        <v>20</v>
      </c>
      <c r="M11" s="100"/>
      <c r="N11" s="98" t="s">
        <v>9</v>
      </c>
      <c r="O11" s="109" t="s">
        <v>21</v>
      </c>
      <c r="P11" s="109"/>
      <c r="Q11" s="109"/>
      <c r="R11" s="109"/>
      <c r="S11" s="100"/>
      <c r="T11" s="94"/>
      <c r="U11" s="117"/>
    </row>
    <row r="12" spans="1:26" ht="75.599999999999994" customHeight="1" x14ac:dyDescent="0.25">
      <c r="A12" s="91"/>
      <c r="B12" s="117"/>
      <c r="C12" s="117"/>
      <c r="D12" s="100"/>
      <c r="E12" s="100"/>
      <c r="F12" s="117"/>
      <c r="G12" s="100"/>
      <c r="H12" s="100"/>
      <c r="I12" s="107"/>
      <c r="J12" s="107"/>
      <c r="K12" s="104"/>
      <c r="L12" s="97"/>
      <c r="M12" s="97"/>
      <c r="N12" s="99"/>
      <c r="O12" s="36" t="s">
        <v>22</v>
      </c>
      <c r="P12" s="36" t="s">
        <v>31</v>
      </c>
      <c r="Q12" s="36" t="s">
        <v>32</v>
      </c>
      <c r="R12" s="36" t="s">
        <v>23</v>
      </c>
      <c r="S12" s="97"/>
      <c r="T12" s="95"/>
      <c r="U12" s="117"/>
    </row>
    <row r="13" spans="1:26" ht="18" customHeight="1" x14ac:dyDescent="0.25">
      <c r="A13" s="92"/>
      <c r="B13" s="99"/>
      <c r="C13" s="99"/>
      <c r="D13" s="97"/>
      <c r="E13" s="97"/>
      <c r="F13" s="99"/>
      <c r="G13" s="97"/>
      <c r="H13" s="97"/>
      <c r="I13" s="38" t="s">
        <v>5</v>
      </c>
      <c r="J13" s="14" t="s">
        <v>5</v>
      </c>
      <c r="K13" s="39" t="s">
        <v>35</v>
      </c>
      <c r="L13" s="14" t="s">
        <v>5</v>
      </c>
      <c r="M13" s="14" t="s">
        <v>10</v>
      </c>
      <c r="N13" s="14" t="s">
        <v>3</v>
      </c>
      <c r="O13" s="14" t="s">
        <v>3</v>
      </c>
      <c r="P13" s="14" t="s">
        <v>3</v>
      </c>
      <c r="Q13" s="14" t="s">
        <v>3</v>
      </c>
      <c r="R13" s="14" t="s">
        <v>3</v>
      </c>
      <c r="S13" s="37" t="s">
        <v>24</v>
      </c>
      <c r="T13" s="15" t="s">
        <v>24</v>
      </c>
      <c r="U13" s="99"/>
      <c r="Y13" s="72" t="s">
        <v>95</v>
      </c>
    </row>
    <row r="14" spans="1:26" x14ac:dyDescent="0.25">
      <c r="A14" s="40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4">
        <v>9</v>
      </c>
      <c r="J14" s="1">
        <v>10</v>
      </c>
      <c r="K14" s="35">
        <v>11</v>
      </c>
      <c r="L14" s="1">
        <v>12</v>
      </c>
      <c r="M14" s="1">
        <v>11</v>
      </c>
      <c r="N14" s="1">
        <v>12</v>
      </c>
      <c r="O14" s="1">
        <v>13</v>
      </c>
      <c r="P14" s="1">
        <v>14</v>
      </c>
      <c r="Q14" s="1">
        <v>15</v>
      </c>
      <c r="R14" s="1">
        <v>16</v>
      </c>
      <c r="S14" s="1">
        <v>17</v>
      </c>
      <c r="T14" s="13">
        <v>18</v>
      </c>
      <c r="U14" s="1">
        <v>19</v>
      </c>
    </row>
    <row r="15" spans="1:26" s="17" customFormat="1" ht="30" customHeight="1" x14ac:dyDescent="0.25">
      <c r="A15" s="53"/>
      <c r="B15" s="115" t="s">
        <v>39</v>
      </c>
      <c r="C15" s="116"/>
      <c r="D15" s="56" t="s">
        <v>29</v>
      </c>
      <c r="E15" s="56" t="s">
        <v>29</v>
      </c>
      <c r="F15" s="56" t="s">
        <v>29</v>
      </c>
      <c r="G15" s="56" t="s">
        <v>29</v>
      </c>
      <c r="H15" s="56" t="s">
        <v>29</v>
      </c>
      <c r="I15" s="57">
        <f>I16+I18+I21</f>
        <v>91343.42</v>
      </c>
      <c r="J15" s="57">
        <f t="shared" ref="J15:T15" si="0">J16+J18+J21</f>
        <v>74036.429999999993</v>
      </c>
      <c r="K15" s="57">
        <f t="shared" si="0"/>
        <v>1049.9000000000001</v>
      </c>
      <c r="L15" s="57">
        <f t="shared" si="0"/>
        <v>66407.459999999992</v>
      </c>
      <c r="M15" s="57">
        <f t="shared" si="0"/>
        <v>3240</v>
      </c>
      <c r="N15" s="57">
        <f t="shared" si="0"/>
        <v>176751533.36773199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176751533.36773199</v>
      </c>
      <c r="S15" s="57">
        <f t="shared" si="0"/>
        <v>145529.09758596332</v>
      </c>
      <c r="T15" s="57">
        <f t="shared" si="0"/>
        <v>145529.09758596332</v>
      </c>
      <c r="U15" s="56" t="s">
        <v>29</v>
      </c>
      <c r="V15" s="58" t="e">
        <f>V16+V18+V21+#REF!+#REF!+#REF!+#REF!+#REF!+#REF!+#REF!+#REF!+#REF!+#REF!+#REF!+#REF!+#REF!+#REF!+#REF!+#REF!+#REF!+#REF!+#REF!+#REF!+#REF!+#REF!+#REF!+#REF!+#REF!+#REF!+#REF!+#REF!+#REF!</f>
        <v>#REF!</v>
      </c>
      <c r="W15" s="29" t="e">
        <f>V15/J15</f>
        <v>#REF!</v>
      </c>
      <c r="Y15" s="73">
        <f>Y16+Y18+Y21</f>
        <v>44988300</v>
      </c>
      <c r="Z15" s="71"/>
    </row>
    <row r="16" spans="1:26" s="17" customFormat="1" ht="34.9" customHeight="1" x14ac:dyDescent="0.25">
      <c r="A16" s="53"/>
      <c r="B16" s="118" t="s">
        <v>38</v>
      </c>
      <c r="C16" s="119"/>
      <c r="D16" s="56" t="s">
        <v>29</v>
      </c>
      <c r="E16" s="56" t="s">
        <v>29</v>
      </c>
      <c r="F16" s="56" t="s">
        <v>29</v>
      </c>
      <c r="G16" s="56" t="s">
        <v>29</v>
      </c>
      <c r="H16" s="56" t="s">
        <v>29</v>
      </c>
      <c r="I16" s="57">
        <f>SUM(I17:I17)</f>
        <v>3499</v>
      </c>
      <c r="J16" s="57">
        <f t="shared" ref="J16:T16" si="1">SUM(J17:J17)</f>
        <v>2156</v>
      </c>
      <c r="K16" s="57">
        <f t="shared" si="1"/>
        <v>0</v>
      </c>
      <c r="L16" s="57">
        <f t="shared" si="1"/>
        <v>2156</v>
      </c>
      <c r="M16" s="57">
        <f t="shared" si="1"/>
        <v>151</v>
      </c>
      <c r="N16" s="57">
        <f t="shared" si="1"/>
        <v>2600996.2552</v>
      </c>
      <c r="O16" s="57">
        <f t="shared" si="1"/>
        <v>0</v>
      </c>
      <c r="P16" s="57">
        <f t="shared" si="1"/>
        <v>0</v>
      </c>
      <c r="Q16" s="57">
        <f t="shared" si="1"/>
        <v>0</v>
      </c>
      <c r="R16" s="57">
        <f t="shared" si="1"/>
        <v>2600996.2552</v>
      </c>
      <c r="S16" s="57">
        <f t="shared" si="1"/>
        <v>1206.3990051948051</v>
      </c>
      <c r="T16" s="57">
        <f t="shared" si="1"/>
        <v>1206.3990051948051</v>
      </c>
      <c r="U16" s="56" t="s">
        <v>29</v>
      </c>
      <c r="V16" s="59">
        <f>SUM(V17:V17)</f>
        <v>2600996.2552</v>
      </c>
      <c r="W16" s="17">
        <f>V16/J16</f>
        <v>1206.3990051948051</v>
      </c>
      <c r="Y16" s="68">
        <v>13151500</v>
      </c>
      <c r="Z16" s="69">
        <f>Y16-N16</f>
        <v>10550503.7448</v>
      </c>
    </row>
    <row r="17" spans="1:26" s="17" customFormat="1" ht="30" customHeight="1" x14ac:dyDescent="0.25">
      <c r="A17" s="53">
        <v>1</v>
      </c>
      <c r="B17" s="54">
        <v>1</v>
      </c>
      <c r="C17" s="42" t="s">
        <v>55</v>
      </c>
      <c r="D17" s="53">
        <v>1989</v>
      </c>
      <c r="E17" s="53"/>
      <c r="F17" s="53" t="s">
        <v>46</v>
      </c>
      <c r="G17" s="53">
        <v>9</v>
      </c>
      <c r="H17" s="53">
        <v>2</v>
      </c>
      <c r="I17" s="46">
        <v>3499</v>
      </c>
      <c r="J17" s="46">
        <v>2156</v>
      </c>
      <c r="K17" s="46">
        <v>0</v>
      </c>
      <c r="L17" s="46">
        <v>2156</v>
      </c>
      <c r="M17" s="45">
        <v>151</v>
      </c>
      <c r="N17" s="46">
        <f>O17+P17+Q17+R17</f>
        <v>2600996.2552</v>
      </c>
      <c r="O17" s="46">
        <v>0</v>
      </c>
      <c r="P17" s="46">
        <v>0</v>
      </c>
      <c r="Q17" s="46">
        <v>0</v>
      </c>
      <c r="R17" s="22">
        <f>'Прил.1.2-реестр дом'!G12</f>
        <v>2600996.2552</v>
      </c>
      <c r="S17" s="22">
        <f>N17/J17</f>
        <v>1206.3990051948051</v>
      </c>
      <c r="T17" s="22">
        <f t="shared" ref="T17:T20" si="2">S17</f>
        <v>1206.3990051948051</v>
      </c>
      <c r="U17" s="47">
        <v>45291</v>
      </c>
      <c r="V17" s="33">
        <f>T17*J17</f>
        <v>2600996.2552</v>
      </c>
      <c r="X17" s="17" t="s">
        <v>42</v>
      </c>
      <c r="Y17" s="68"/>
      <c r="Z17" s="69"/>
    </row>
    <row r="18" spans="1:26" s="17" customFormat="1" ht="24" customHeight="1" x14ac:dyDescent="0.25">
      <c r="A18" s="53"/>
      <c r="B18" s="115" t="s">
        <v>40</v>
      </c>
      <c r="C18" s="116"/>
      <c r="D18" s="56" t="s">
        <v>29</v>
      </c>
      <c r="E18" s="56" t="s">
        <v>29</v>
      </c>
      <c r="F18" s="56" t="s">
        <v>29</v>
      </c>
      <c r="G18" s="56" t="s">
        <v>29</v>
      </c>
      <c r="H18" s="56" t="s">
        <v>29</v>
      </c>
      <c r="I18" s="57">
        <f>SUM(I19:I20)</f>
        <v>8664.2999999999993</v>
      </c>
      <c r="J18" s="57">
        <f t="shared" ref="J18:T18" si="3">SUM(J19:J20)</f>
        <v>6637.07</v>
      </c>
      <c r="K18" s="57">
        <f t="shared" si="3"/>
        <v>58</v>
      </c>
      <c r="L18" s="57">
        <f t="shared" si="3"/>
        <v>0</v>
      </c>
      <c r="M18" s="57">
        <f t="shared" si="3"/>
        <v>284</v>
      </c>
      <c r="N18" s="57">
        <f t="shared" si="3"/>
        <v>6552969.6482480001</v>
      </c>
      <c r="O18" s="57">
        <f t="shared" si="3"/>
        <v>0</v>
      </c>
      <c r="P18" s="57">
        <f t="shared" si="3"/>
        <v>0</v>
      </c>
      <c r="Q18" s="57">
        <f t="shared" si="3"/>
        <v>0</v>
      </c>
      <c r="R18" s="57">
        <f t="shared" si="3"/>
        <v>6552969.6482480001</v>
      </c>
      <c r="S18" s="57">
        <f t="shared" si="3"/>
        <v>1980.9179117708618</v>
      </c>
      <c r="T18" s="57">
        <f t="shared" si="3"/>
        <v>1980.9179117708618</v>
      </c>
      <c r="U18" s="56" t="s">
        <v>29</v>
      </c>
      <c r="V18" s="60">
        <f>SUM(V19:V20)</f>
        <v>6552969.6482480001</v>
      </c>
      <c r="W18" s="29">
        <f>V18/J18</f>
        <v>987.32869296963872</v>
      </c>
      <c r="Y18" s="70">
        <v>15918400</v>
      </c>
      <c r="Z18" s="69">
        <f>Y18-R18</f>
        <v>9365430.3517519999</v>
      </c>
    </row>
    <row r="19" spans="1:26" s="17" customFormat="1" ht="30" customHeight="1" x14ac:dyDescent="0.25">
      <c r="A19" s="30">
        <f>A17+1</f>
        <v>2</v>
      </c>
      <c r="B19" s="24">
        <v>1</v>
      </c>
      <c r="C19" s="42" t="s">
        <v>47</v>
      </c>
      <c r="D19" s="48">
        <v>1990</v>
      </c>
      <c r="E19" s="53"/>
      <c r="F19" s="53" t="s">
        <v>46</v>
      </c>
      <c r="G19" s="27">
        <v>9</v>
      </c>
      <c r="H19" s="24">
        <v>2</v>
      </c>
      <c r="I19" s="64">
        <v>4281.3</v>
      </c>
      <c r="J19" s="41">
        <v>3368.67</v>
      </c>
      <c r="K19" s="49">
        <f>33.7</f>
        <v>33.700000000000003</v>
      </c>
      <c r="L19" s="41">
        <v>0</v>
      </c>
      <c r="M19" s="50">
        <v>141</v>
      </c>
      <c r="N19" s="46">
        <f t="shared" ref="N19:N20" si="4">O19+P19+Q19+R19</f>
        <v>2638546.6551999999</v>
      </c>
      <c r="O19" s="46">
        <v>0</v>
      </c>
      <c r="P19" s="46">
        <v>0</v>
      </c>
      <c r="Q19" s="46">
        <v>0</v>
      </c>
      <c r="R19" s="46">
        <f>'Прил.1.2-реестр дом'!G14</f>
        <v>2638546.6551999999</v>
      </c>
      <c r="S19" s="22">
        <f>N19/J19</f>
        <v>783.26065040505591</v>
      </c>
      <c r="T19" s="46">
        <f t="shared" si="2"/>
        <v>783.26065040505591</v>
      </c>
      <c r="U19" s="47">
        <v>45657</v>
      </c>
      <c r="V19" s="33">
        <f>T19*J19</f>
        <v>2638546.6551999999</v>
      </c>
      <c r="W19" s="29"/>
      <c r="X19" s="17" t="s">
        <v>42</v>
      </c>
      <c r="Y19" s="69"/>
      <c r="Z19" s="69"/>
    </row>
    <row r="20" spans="1:26" s="17" customFormat="1" ht="30" customHeight="1" x14ac:dyDescent="0.25">
      <c r="A20" s="30">
        <f>A19+1</f>
        <v>3</v>
      </c>
      <c r="B20" s="24">
        <f>B19+1</f>
        <v>2</v>
      </c>
      <c r="C20" s="42" t="s">
        <v>48</v>
      </c>
      <c r="D20" s="48">
        <v>1990</v>
      </c>
      <c r="E20" s="53"/>
      <c r="F20" s="53" t="s">
        <v>46</v>
      </c>
      <c r="G20" s="27">
        <v>5</v>
      </c>
      <c r="H20" s="24">
        <v>4</v>
      </c>
      <c r="I20" s="64">
        <v>4383</v>
      </c>
      <c r="J20" s="41">
        <v>3268.4</v>
      </c>
      <c r="K20" s="49">
        <f>24.3</f>
        <v>24.3</v>
      </c>
      <c r="L20" s="41">
        <v>0</v>
      </c>
      <c r="M20" s="50">
        <v>143</v>
      </c>
      <c r="N20" s="46">
        <f t="shared" si="4"/>
        <v>3914422.9930479997</v>
      </c>
      <c r="O20" s="46">
        <v>0</v>
      </c>
      <c r="P20" s="46">
        <v>0</v>
      </c>
      <c r="Q20" s="46">
        <v>0</v>
      </c>
      <c r="R20" s="46">
        <f>'Прил.1.2-реестр дом'!G15</f>
        <v>3914422.9930479997</v>
      </c>
      <c r="S20" s="22">
        <f t="shared" ref="S20" si="5">N20/J20</f>
        <v>1197.6572613658059</v>
      </c>
      <c r="T20" s="46">
        <f t="shared" si="2"/>
        <v>1197.6572613658059</v>
      </c>
      <c r="U20" s="47">
        <v>45657</v>
      </c>
      <c r="V20" s="33">
        <f t="shared" ref="V20" si="6">T20*J20</f>
        <v>3914422.9930480001</v>
      </c>
      <c r="W20" s="29"/>
      <c r="X20" s="17" t="s">
        <v>42</v>
      </c>
      <c r="Y20" s="69"/>
      <c r="Z20" s="69" t="s">
        <v>97</v>
      </c>
    </row>
    <row r="21" spans="1:26" s="17" customFormat="1" ht="21.6" customHeight="1" x14ac:dyDescent="0.25">
      <c r="A21" s="53"/>
      <c r="B21" s="115" t="s">
        <v>41</v>
      </c>
      <c r="C21" s="116"/>
      <c r="D21" s="61" t="s">
        <v>29</v>
      </c>
      <c r="E21" s="61" t="s">
        <v>29</v>
      </c>
      <c r="F21" s="61" t="s">
        <v>29</v>
      </c>
      <c r="G21" s="61" t="s">
        <v>29</v>
      </c>
      <c r="H21" s="61" t="s">
        <v>29</v>
      </c>
      <c r="I21" s="62">
        <f>SUM(I22:I60)</f>
        <v>79180.12</v>
      </c>
      <c r="J21" s="62">
        <f t="shared" ref="J21:T21" si="7">SUM(J22:J60)</f>
        <v>65243.359999999993</v>
      </c>
      <c r="K21" s="62">
        <f t="shared" si="7"/>
        <v>991.9000000000002</v>
      </c>
      <c r="L21" s="62">
        <f t="shared" si="7"/>
        <v>64251.46</v>
      </c>
      <c r="M21" s="62">
        <f t="shared" si="7"/>
        <v>2805</v>
      </c>
      <c r="N21" s="62">
        <f t="shared" si="7"/>
        <v>167597567.464284</v>
      </c>
      <c r="O21" s="62">
        <f t="shared" si="7"/>
        <v>0</v>
      </c>
      <c r="P21" s="62">
        <f t="shared" si="7"/>
        <v>0</v>
      </c>
      <c r="Q21" s="62">
        <f t="shared" si="7"/>
        <v>0</v>
      </c>
      <c r="R21" s="62">
        <f t="shared" si="7"/>
        <v>167597567.464284</v>
      </c>
      <c r="S21" s="62">
        <f t="shared" si="7"/>
        <v>142341.78066899764</v>
      </c>
      <c r="T21" s="62">
        <f t="shared" si="7"/>
        <v>142341.78066899764</v>
      </c>
      <c r="U21" s="61" t="s">
        <v>29</v>
      </c>
      <c r="V21" s="63">
        <f>SUM(V22:V29)</f>
        <v>22299049.340064004</v>
      </c>
      <c r="W21" s="29">
        <f>V21/J21</f>
        <v>341.78266324824483</v>
      </c>
      <c r="Y21" s="70">
        <v>15918400</v>
      </c>
      <c r="Z21" s="69">
        <f>Y21+Z16+Z18</f>
        <v>35834334.096551999</v>
      </c>
    </row>
    <row r="22" spans="1:26" s="17" customFormat="1" ht="30" customHeight="1" x14ac:dyDescent="0.25">
      <c r="A22" s="53">
        <f>A20+1</f>
        <v>4</v>
      </c>
      <c r="B22" s="54">
        <v>1</v>
      </c>
      <c r="C22" s="51" t="s">
        <v>49</v>
      </c>
      <c r="D22" s="26">
        <v>1960</v>
      </c>
      <c r="E22" s="26"/>
      <c r="F22" s="53" t="s">
        <v>46</v>
      </c>
      <c r="G22" s="26">
        <v>2</v>
      </c>
      <c r="H22" s="26">
        <v>2</v>
      </c>
      <c r="I22" s="65">
        <v>665.1</v>
      </c>
      <c r="J22" s="25">
        <v>620.79999999999995</v>
      </c>
      <c r="K22" s="49">
        <v>0</v>
      </c>
      <c r="L22" s="25">
        <f t="shared" ref="L22:L53" si="8">J22-K22</f>
        <v>620.79999999999995</v>
      </c>
      <c r="M22" s="26">
        <v>22</v>
      </c>
      <c r="N22" s="46">
        <f>O22+P22+Q22+R22</f>
        <v>2645073.5686199996</v>
      </c>
      <c r="O22" s="22">
        <v>0</v>
      </c>
      <c r="P22" s="22">
        <v>0</v>
      </c>
      <c r="Q22" s="22">
        <v>0</v>
      </c>
      <c r="R22" s="22">
        <f>'Прил.1.2-реестр дом'!G17</f>
        <v>2645073.5686199996</v>
      </c>
      <c r="S22" s="22">
        <f>N22/J22</f>
        <v>4260.749949452319</v>
      </c>
      <c r="T22" s="46">
        <f>S22</f>
        <v>4260.749949452319</v>
      </c>
      <c r="U22" s="47">
        <v>46022</v>
      </c>
      <c r="V22" s="33">
        <f>T22*J22</f>
        <v>2645073.5686199996</v>
      </c>
      <c r="X22" s="17" t="s">
        <v>43</v>
      </c>
    </row>
    <row r="23" spans="1:26" s="17" customFormat="1" ht="30" customHeight="1" x14ac:dyDescent="0.25">
      <c r="A23" s="53">
        <f>A22+1</f>
        <v>5</v>
      </c>
      <c r="B23" s="54">
        <f>B22+1</f>
        <v>2</v>
      </c>
      <c r="C23" s="51" t="s">
        <v>50</v>
      </c>
      <c r="D23" s="26">
        <v>1960</v>
      </c>
      <c r="E23" s="26"/>
      <c r="F23" s="53" t="s">
        <v>46</v>
      </c>
      <c r="G23" s="26">
        <v>2</v>
      </c>
      <c r="H23" s="26">
        <v>2</v>
      </c>
      <c r="I23" s="65">
        <v>759.8</v>
      </c>
      <c r="J23" s="25">
        <v>596.20000000000005</v>
      </c>
      <c r="K23" s="49">
        <f>44.3</f>
        <v>44.3</v>
      </c>
      <c r="L23" s="25">
        <f t="shared" si="8"/>
        <v>551.90000000000009</v>
      </c>
      <c r="M23" s="26">
        <v>22</v>
      </c>
      <c r="N23" s="46">
        <f t="shared" ref="N23:N29" si="9">O23+P23+Q23+R23</f>
        <v>3021691.32076</v>
      </c>
      <c r="O23" s="22">
        <v>0</v>
      </c>
      <c r="P23" s="22">
        <v>0</v>
      </c>
      <c r="Q23" s="22">
        <v>0</v>
      </c>
      <c r="R23" s="22">
        <f>'Прил.1.2-реестр дом'!G18</f>
        <v>3021691.32076</v>
      </c>
      <c r="S23" s="22">
        <f t="shared" ref="S23:S29" si="10">N23/J23</f>
        <v>5068.2511250587049</v>
      </c>
      <c r="T23" s="46">
        <f t="shared" ref="T23:T60" si="11">S23</f>
        <v>5068.2511250587049</v>
      </c>
      <c r="U23" s="47">
        <v>46022</v>
      </c>
      <c r="V23" s="33">
        <f t="shared" ref="V23:V29" si="12">T23*J23</f>
        <v>3021691.32076</v>
      </c>
      <c r="X23" s="17" t="s">
        <v>43</v>
      </c>
    </row>
    <row r="24" spans="1:26" s="17" customFormat="1" ht="30" x14ac:dyDescent="0.25">
      <c r="A24" s="87">
        <f t="shared" ref="A24:A60" si="13">A23+1</f>
        <v>6</v>
      </c>
      <c r="B24" s="76">
        <f t="shared" ref="B24:B60" si="14">B23+1</f>
        <v>3</v>
      </c>
      <c r="C24" s="51" t="s">
        <v>57</v>
      </c>
      <c r="D24" s="26">
        <v>1976</v>
      </c>
      <c r="E24" s="26"/>
      <c r="F24" s="53" t="s">
        <v>46</v>
      </c>
      <c r="G24" s="26">
        <v>5</v>
      </c>
      <c r="H24" s="26">
        <v>6</v>
      </c>
      <c r="I24" s="65">
        <v>5580.26</v>
      </c>
      <c r="J24" s="25">
        <v>4282.8599999999997</v>
      </c>
      <c r="K24" s="49">
        <v>0</v>
      </c>
      <c r="L24" s="25">
        <f>J24-K24</f>
        <v>4282.8599999999997</v>
      </c>
      <c r="M24" s="26">
        <v>190</v>
      </c>
      <c r="N24" s="46">
        <f>O24+P24+Q24+R24</f>
        <v>6485245.3618119992</v>
      </c>
      <c r="O24" s="22">
        <v>0</v>
      </c>
      <c r="P24" s="22">
        <v>0</v>
      </c>
      <c r="Q24" s="22">
        <v>0</v>
      </c>
      <c r="R24" s="22">
        <f>'Прил.1.2-реестр дом'!G19</f>
        <v>6485245.3618119992</v>
      </c>
      <c r="S24" s="22">
        <f>N24/J24</f>
        <v>1514.2323965322237</v>
      </c>
      <c r="T24" s="46">
        <f>S24</f>
        <v>1514.2323965322237</v>
      </c>
      <c r="U24" s="47">
        <v>46022</v>
      </c>
      <c r="V24" s="33"/>
      <c r="X24" s="17" t="s">
        <v>42</v>
      </c>
    </row>
    <row r="25" spans="1:26" s="17" customFormat="1" ht="30" x14ac:dyDescent="0.25">
      <c r="A25" s="87">
        <f t="shared" si="13"/>
        <v>7</v>
      </c>
      <c r="B25" s="76">
        <f t="shared" si="14"/>
        <v>4</v>
      </c>
      <c r="C25" s="51" t="s">
        <v>60</v>
      </c>
      <c r="D25" s="26">
        <v>1978</v>
      </c>
      <c r="E25" s="26"/>
      <c r="F25" s="53" t="s">
        <v>46</v>
      </c>
      <c r="G25" s="26">
        <v>5</v>
      </c>
      <c r="H25" s="26">
        <v>4</v>
      </c>
      <c r="I25" s="65">
        <v>3433</v>
      </c>
      <c r="J25" s="25">
        <v>2642.73</v>
      </c>
      <c r="K25" s="49">
        <f>30.7+47.8+30.7</f>
        <v>109.2</v>
      </c>
      <c r="L25" s="25">
        <f>J25-K25</f>
        <v>2533.5300000000002</v>
      </c>
      <c r="M25" s="26">
        <v>117</v>
      </c>
      <c r="N25" s="46">
        <f>O25+P25+Q25+R25</f>
        <v>3735842.8414479997</v>
      </c>
      <c r="O25" s="22">
        <v>0</v>
      </c>
      <c r="P25" s="22">
        <v>0</v>
      </c>
      <c r="Q25" s="22">
        <v>0</v>
      </c>
      <c r="R25" s="22">
        <f>'Прил.1.2-реестр дом'!G20</f>
        <v>3735842.8414479997</v>
      </c>
      <c r="S25" s="22">
        <f>N25/J25</f>
        <v>1413.6301632962882</v>
      </c>
      <c r="T25" s="46">
        <f>S25</f>
        <v>1413.6301632962882</v>
      </c>
      <c r="U25" s="47">
        <v>46022</v>
      </c>
      <c r="V25" s="33"/>
      <c r="X25" s="17" t="s">
        <v>42</v>
      </c>
    </row>
    <row r="26" spans="1:26" s="17" customFormat="1" ht="30" x14ac:dyDescent="0.25">
      <c r="A26" s="87">
        <f t="shared" si="13"/>
        <v>8</v>
      </c>
      <c r="B26" s="76">
        <f t="shared" si="14"/>
        <v>5</v>
      </c>
      <c r="C26" s="51" t="s">
        <v>64</v>
      </c>
      <c r="D26" s="26">
        <v>1987</v>
      </c>
      <c r="E26" s="26"/>
      <c r="F26" s="53" t="s">
        <v>46</v>
      </c>
      <c r="G26" s="26">
        <v>5</v>
      </c>
      <c r="H26" s="26">
        <v>6</v>
      </c>
      <c r="I26" s="65">
        <v>7200</v>
      </c>
      <c r="J26" s="25">
        <v>5748.29</v>
      </c>
      <c r="K26" s="49">
        <f>29.2</f>
        <v>29.2</v>
      </c>
      <c r="L26" s="25">
        <f>J26-K26</f>
        <v>5719.09</v>
      </c>
      <c r="M26" s="26">
        <v>272</v>
      </c>
      <c r="N26" s="46">
        <f>O26+P26+Q26+R26</f>
        <v>10571522.434495999</v>
      </c>
      <c r="O26" s="22">
        <v>0</v>
      </c>
      <c r="P26" s="22">
        <v>0</v>
      </c>
      <c r="Q26" s="22">
        <v>0</v>
      </c>
      <c r="R26" s="22">
        <f>'Прил.1.2-реестр дом'!G21</f>
        <v>10571522.434495999</v>
      </c>
      <c r="S26" s="22">
        <f>N26/J26</f>
        <v>1839.0725649707997</v>
      </c>
      <c r="T26" s="46">
        <f>S26</f>
        <v>1839.0725649707997</v>
      </c>
      <c r="U26" s="47">
        <v>46022</v>
      </c>
      <c r="V26" s="33"/>
      <c r="X26" s="17" t="s">
        <v>42</v>
      </c>
    </row>
    <row r="27" spans="1:26" s="17" customFormat="1" ht="30" x14ac:dyDescent="0.25">
      <c r="A27" s="87">
        <f t="shared" si="13"/>
        <v>9</v>
      </c>
      <c r="B27" s="76">
        <f t="shared" si="14"/>
        <v>6</v>
      </c>
      <c r="C27" s="51" t="s">
        <v>65</v>
      </c>
      <c r="D27" s="26">
        <v>1989</v>
      </c>
      <c r="E27" s="26"/>
      <c r="F27" s="53" t="s">
        <v>46</v>
      </c>
      <c r="G27" s="26">
        <v>9</v>
      </c>
      <c r="H27" s="26">
        <v>2</v>
      </c>
      <c r="I27" s="65">
        <v>4003.8</v>
      </c>
      <c r="J27" s="25">
        <v>3492.18</v>
      </c>
      <c r="K27" s="49">
        <v>0</v>
      </c>
      <c r="L27" s="25">
        <f>J27-K27</f>
        <v>3492.18</v>
      </c>
      <c r="M27" s="26">
        <v>142</v>
      </c>
      <c r="N27" s="46">
        <f>O27+P27+Q27+R27</f>
        <v>3009391.5375999999</v>
      </c>
      <c r="O27" s="22">
        <v>0</v>
      </c>
      <c r="P27" s="22">
        <v>0</v>
      </c>
      <c r="Q27" s="22">
        <v>0</v>
      </c>
      <c r="R27" s="22">
        <f>'Прил.1.2-реестр дом'!G22</f>
        <v>3009391.5375999999</v>
      </c>
      <c r="S27" s="22">
        <f>N27/J27</f>
        <v>861.75155278364809</v>
      </c>
      <c r="T27" s="46">
        <f>S27</f>
        <v>861.75155278364809</v>
      </c>
      <c r="U27" s="47">
        <v>46022</v>
      </c>
      <c r="V27" s="33"/>
      <c r="X27" s="17" t="s">
        <v>42</v>
      </c>
    </row>
    <row r="28" spans="1:26" s="17" customFormat="1" ht="30" customHeight="1" x14ac:dyDescent="0.25">
      <c r="A28" s="87">
        <f t="shared" si="13"/>
        <v>10</v>
      </c>
      <c r="B28" s="76">
        <f t="shared" si="14"/>
        <v>7</v>
      </c>
      <c r="C28" s="51" t="s">
        <v>51</v>
      </c>
      <c r="D28" s="26">
        <v>1983</v>
      </c>
      <c r="E28" s="26"/>
      <c r="F28" s="53" t="s">
        <v>46</v>
      </c>
      <c r="G28" s="26">
        <v>5</v>
      </c>
      <c r="H28" s="26">
        <v>4</v>
      </c>
      <c r="I28" s="65">
        <v>2909.1</v>
      </c>
      <c r="J28" s="25">
        <v>2530.0300000000002</v>
      </c>
      <c r="K28" s="49">
        <f>56+28.8</f>
        <v>84.8</v>
      </c>
      <c r="L28" s="25">
        <f t="shared" si="8"/>
        <v>2445.23</v>
      </c>
      <c r="M28" s="26">
        <v>114</v>
      </c>
      <c r="N28" s="46">
        <f t="shared" si="9"/>
        <v>11569363.281420002</v>
      </c>
      <c r="O28" s="22">
        <v>0</v>
      </c>
      <c r="P28" s="22">
        <v>0</v>
      </c>
      <c r="Q28" s="22">
        <v>0</v>
      </c>
      <c r="R28" s="22">
        <f>'Прил.1.2-реестр дом'!G23</f>
        <v>11569363.281420002</v>
      </c>
      <c r="S28" s="22">
        <f t="shared" si="10"/>
        <v>4572.8166390991419</v>
      </c>
      <c r="T28" s="46">
        <f t="shared" si="11"/>
        <v>4572.8166390991419</v>
      </c>
      <c r="U28" s="47">
        <v>46022</v>
      </c>
      <c r="V28" s="33">
        <f t="shared" si="12"/>
        <v>11569363.281420004</v>
      </c>
      <c r="X28" s="17" t="s">
        <v>43</v>
      </c>
    </row>
    <row r="29" spans="1:26" s="17" customFormat="1" ht="30" customHeight="1" x14ac:dyDescent="0.25">
      <c r="A29" s="87">
        <f t="shared" si="13"/>
        <v>11</v>
      </c>
      <c r="B29" s="76">
        <f t="shared" si="14"/>
        <v>8</v>
      </c>
      <c r="C29" s="51" t="s">
        <v>52</v>
      </c>
      <c r="D29" s="26">
        <v>1980</v>
      </c>
      <c r="E29" s="26"/>
      <c r="F29" s="53" t="s">
        <v>46</v>
      </c>
      <c r="G29" s="26">
        <v>5</v>
      </c>
      <c r="H29" s="26">
        <v>4</v>
      </c>
      <c r="I29" s="65">
        <v>3710</v>
      </c>
      <c r="J29" s="25">
        <v>2742.3</v>
      </c>
      <c r="K29" s="49">
        <f>47.9+31.2+30.5</f>
        <v>109.6</v>
      </c>
      <c r="L29" s="25">
        <f t="shared" si="8"/>
        <v>2632.7000000000003</v>
      </c>
      <c r="M29" s="26">
        <v>121</v>
      </c>
      <c r="N29" s="46">
        <f t="shared" si="9"/>
        <v>5062921.1692639999</v>
      </c>
      <c r="O29" s="22">
        <v>0</v>
      </c>
      <c r="P29" s="22">
        <v>0</v>
      </c>
      <c r="Q29" s="22">
        <v>0</v>
      </c>
      <c r="R29" s="22">
        <f>'Прил.1.2-реестр дом'!G24</f>
        <v>5062921.1692639999</v>
      </c>
      <c r="S29" s="22">
        <f t="shared" si="10"/>
        <v>1846.2316921066256</v>
      </c>
      <c r="T29" s="46">
        <f t="shared" si="11"/>
        <v>1846.2316921066256</v>
      </c>
      <c r="U29" s="47">
        <v>46022</v>
      </c>
      <c r="V29" s="33">
        <f t="shared" si="12"/>
        <v>5062921.1692639999</v>
      </c>
      <c r="X29" s="17" t="s">
        <v>42</v>
      </c>
    </row>
    <row r="30" spans="1:26" s="17" customFormat="1" ht="30" x14ac:dyDescent="0.25">
      <c r="A30" s="87">
        <f t="shared" si="13"/>
        <v>12</v>
      </c>
      <c r="B30" s="76">
        <f t="shared" si="14"/>
        <v>9</v>
      </c>
      <c r="C30" s="51" t="s">
        <v>56</v>
      </c>
      <c r="D30" s="26">
        <v>1987</v>
      </c>
      <c r="E30" s="26"/>
      <c r="F30" s="53" t="s">
        <v>46</v>
      </c>
      <c r="G30" s="26">
        <v>5</v>
      </c>
      <c r="H30" s="26">
        <v>6</v>
      </c>
      <c r="I30" s="65">
        <v>5840</v>
      </c>
      <c r="J30" s="25">
        <v>4439.51</v>
      </c>
      <c r="K30" s="49">
        <f>33.8+48.6</f>
        <v>82.4</v>
      </c>
      <c r="L30" s="25">
        <f t="shared" si="8"/>
        <v>4357.1100000000006</v>
      </c>
      <c r="M30" s="26">
        <v>208</v>
      </c>
      <c r="N30" s="46">
        <f t="shared" ref="N30:N35" si="15">O30+P30+Q30+R30</f>
        <v>4658737.3600000003</v>
      </c>
      <c r="O30" s="22">
        <v>0</v>
      </c>
      <c r="P30" s="22">
        <v>0</v>
      </c>
      <c r="Q30" s="22">
        <v>0</v>
      </c>
      <c r="R30" s="22">
        <f>'Прил.1.2-реестр дом'!G25</f>
        <v>4658737.3600000003</v>
      </c>
      <c r="S30" s="22">
        <f t="shared" ref="S30:S35" si="16">N30/J30</f>
        <v>1049.3809812344155</v>
      </c>
      <c r="T30" s="46">
        <f t="shared" si="11"/>
        <v>1049.3809812344155</v>
      </c>
      <c r="U30" s="47">
        <v>46022</v>
      </c>
      <c r="V30" s="33"/>
      <c r="X30" s="17" t="s">
        <v>45</v>
      </c>
    </row>
    <row r="31" spans="1:26" s="17" customFormat="1" ht="30" x14ac:dyDescent="0.25">
      <c r="A31" s="87">
        <f t="shared" si="13"/>
        <v>13</v>
      </c>
      <c r="B31" s="76">
        <f t="shared" si="14"/>
        <v>10</v>
      </c>
      <c r="C31" s="51" t="s">
        <v>58</v>
      </c>
      <c r="D31" s="26">
        <v>1990</v>
      </c>
      <c r="E31" s="26"/>
      <c r="F31" s="53" t="s">
        <v>46</v>
      </c>
      <c r="G31" s="26">
        <v>5</v>
      </c>
      <c r="H31" s="26">
        <v>4</v>
      </c>
      <c r="I31" s="65">
        <v>3559.97</v>
      </c>
      <c r="J31" s="25">
        <v>3171.37</v>
      </c>
      <c r="K31" s="49">
        <v>0</v>
      </c>
      <c r="L31" s="25">
        <f t="shared" si="8"/>
        <v>3171.37</v>
      </c>
      <c r="M31" s="26">
        <v>135</v>
      </c>
      <c r="N31" s="46">
        <f t="shared" si="15"/>
        <v>14157844.763313999</v>
      </c>
      <c r="O31" s="22">
        <v>0</v>
      </c>
      <c r="P31" s="22">
        <v>0</v>
      </c>
      <c r="Q31" s="22">
        <v>0</v>
      </c>
      <c r="R31" s="22">
        <f>'Прил.1.2-реестр дом'!G26</f>
        <v>14157844.763313999</v>
      </c>
      <c r="S31" s="22">
        <f t="shared" si="16"/>
        <v>4464.2677339175179</v>
      </c>
      <c r="T31" s="46">
        <f t="shared" si="11"/>
        <v>4464.2677339175179</v>
      </c>
      <c r="U31" s="47">
        <v>46022</v>
      </c>
      <c r="V31" s="33"/>
      <c r="X31" s="17" t="s">
        <v>43</v>
      </c>
    </row>
    <row r="32" spans="1:26" s="17" customFormat="1" ht="30" x14ac:dyDescent="0.25">
      <c r="A32" s="87">
        <f t="shared" si="13"/>
        <v>14</v>
      </c>
      <c r="B32" s="76">
        <f t="shared" si="14"/>
        <v>11</v>
      </c>
      <c r="C32" s="51" t="s">
        <v>59</v>
      </c>
      <c r="D32" s="26">
        <v>1986</v>
      </c>
      <c r="E32" s="26"/>
      <c r="F32" s="53" t="s">
        <v>46</v>
      </c>
      <c r="G32" s="26">
        <v>5</v>
      </c>
      <c r="H32" s="26">
        <v>4</v>
      </c>
      <c r="I32" s="65">
        <v>3591.8</v>
      </c>
      <c r="J32" s="25">
        <v>3326.8</v>
      </c>
      <c r="K32" s="49">
        <v>0</v>
      </c>
      <c r="L32" s="25">
        <f t="shared" si="8"/>
        <v>3326.8</v>
      </c>
      <c r="M32" s="26">
        <v>129</v>
      </c>
      <c r="N32" s="46">
        <f t="shared" si="15"/>
        <v>12686989.722920001</v>
      </c>
      <c r="O32" s="22">
        <v>0</v>
      </c>
      <c r="P32" s="22">
        <v>0</v>
      </c>
      <c r="Q32" s="22">
        <v>0</v>
      </c>
      <c r="R32" s="22">
        <f>'Прил.1.2-реестр дом'!G27</f>
        <v>12686989.722920001</v>
      </c>
      <c r="S32" s="22">
        <f t="shared" si="16"/>
        <v>3813.5715170494168</v>
      </c>
      <c r="T32" s="46">
        <f t="shared" si="11"/>
        <v>3813.5715170494168</v>
      </c>
      <c r="U32" s="47">
        <v>46022</v>
      </c>
      <c r="V32" s="33"/>
      <c r="X32" s="17" t="s">
        <v>44</v>
      </c>
    </row>
    <row r="33" spans="1:24" s="17" customFormat="1" ht="30" x14ac:dyDescent="0.25">
      <c r="A33" s="87">
        <f t="shared" si="13"/>
        <v>15</v>
      </c>
      <c r="B33" s="76">
        <f t="shared" si="14"/>
        <v>12</v>
      </c>
      <c r="C33" s="51" t="s">
        <v>61</v>
      </c>
      <c r="D33" s="26">
        <v>1981</v>
      </c>
      <c r="E33" s="26"/>
      <c r="F33" s="53" t="s">
        <v>46</v>
      </c>
      <c r="G33" s="26">
        <v>5</v>
      </c>
      <c r="H33" s="26">
        <v>4</v>
      </c>
      <c r="I33" s="65">
        <v>3575</v>
      </c>
      <c r="J33" s="25">
        <v>2732.43</v>
      </c>
      <c r="K33" s="49">
        <v>0</v>
      </c>
      <c r="L33" s="25">
        <f t="shared" si="8"/>
        <v>2732.43</v>
      </c>
      <c r="M33" s="26">
        <v>125</v>
      </c>
      <c r="N33" s="46">
        <f t="shared" si="15"/>
        <v>5238344.338064</v>
      </c>
      <c r="O33" s="22">
        <v>0</v>
      </c>
      <c r="P33" s="22">
        <v>0</v>
      </c>
      <c r="Q33" s="22">
        <v>0</v>
      </c>
      <c r="R33" s="22">
        <f>'Прил.1.2-реестр дом'!G28</f>
        <v>5238344.338064</v>
      </c>
      <c r="S33" s="22">
        <f t="shared" si="16"/>
        <v>1917.1010192627077</v>
      </c>
      <c r="T33" s="46">
        <f t="shared" si="11"/>
        <v>1917.1010192627077</v>
      </c>
      <c r="U33" s="47">
        <v>46022</v>
      </c>
      <c r="V33" s="33"/>
      <c r="X33" s="17" t="s">
        <v>42</v>
      </c>
    </row>
    <row r="34" spans="1:24" s="17" customFormat="1" ht="30" x14ac:dyDescent="0.25">
      <c r="A34" s="87">
        <f t="shared" si="13"/>
        <v>16</v>
      </c>
      <c r="B34" s="76">
        <f t="shared" si="14"/>
        <v>13</v>
      </c>
      <c r="C34" s="51" t="s">
        <v>62</v>
      </c>
      <c r="D34" s="26">
        <v>1978</v>
      </c>
      <c r="E34" s="26"/>
      <c r="F34" s="53" t="s">
        <v>46</v>
      </c>
      <c r="G34" s="26">
        <v>5</v>
      </c>
      <c r="H34" s="26">
        <v>6</v>
      </c>
      <c r="I34" s="65">
        <v>5009.5</v>
      </c>
      <c r="J34" s="25">
        <v>4506.3999999999996</v>
      </c>
      <c r="K34" s="49">
        <f>62.6</f>
        <v>62.6</v>
      </c>
      <c r="L34" s="25">
        <f t="shared" si="8"/>
        <v>4443.7999999999993</v>
      </c>
      <c r="M34" s="26">
        <v>181</v>
      </c>
      <c r="N34" s="46">
        <f t="shared" si="15"/>
        <v>7988183.5599999996</v>
      </c>
      <c r="O34" s="22">
        <v>0</v>
      </c>
      <c r="P34" s="22">
        <v>0</v>
      </c>
      <c r="Q34" s="22">
        <v>0</v>
      </c>
      <c r="R34" s="22">
        <f>'Прил.1.2-реестр дом'!G29</f>
        <v>7988183.5599999996</v>
      </c>
      <c r="S34" s="22">
        <f t="shared" si="16"/>
        <v>1772.6308272678857</v>
      </c>
      <c r="T34" s="46">
        <f t="shared" si="11"/>
        <v>1772.6308272678857</v>
      </c>
      <c r="U34" s="47">
        <v>46022</v>
      </c>
      <c r="V34" s="33"/>
      <c r="X34" s="17" t="s">
        <v>42</v>
      </c>
    </row>
    <row r="35" spans="1:24" s="17" customFormat="1" ht="30" x14ac:dyDescent="0.25">
      <c r="A35" s="87">
        <f t="shared" si="13"/>
        <v>17</v>
      </c>
      <c r="B35" s="76">
        <f t="shared" si="14"/>
        <v>14</v>
      </c>
      <c r="C35" s="51" t="s">
        <v>63</v>
      </c>
      <c r="D35" s="26">
        <v>1983</v>
      </c>
      <c r="E35" s="26"/>
      <c r="F35" s="53" t="s">
        <v>46</v>
      </c>
      <c r="G35" s="26">
        <v>5</v>
      </c>
      <c r="H35" s="26">
        <v>4</v>
      </c>
      <c r="I35" s="65">
        <v>3444</v>
      </c>
      <c r="J35" s="25">
        <v>2705.03</v>
      </c>
      <c r="K35" s="49">
        <f>29.6</f>
        <v>29.6</v>
      </c>
      <c r="L35" s="25">
        <f t="shared" si="8"/>
        <v>2675.4300000000003</v>
      </c>
      <c r="M35" s="26">
        <v>121</v>
      </c>
      <c r="N35" s="46">
        <f t="shared" si="15"/>
        <v>2747378.676</v>
      </c>
      <c r="O35" s="22">
        <v>0</v>
      </c>
      <c r="P35" s="22">
        <v>0</v>
      </c>
      <c r="Q35" s="22">
        <v>0</v>
      </c>
      <c r="R35" s="22">
        <f>'Прил.1.2-реестр дом'!G30</f>
        <v>2747378.676</v>
      </c>
      <c r="S35" s="22">
        <f t="shared" si="16"/>
        <v>1015.6555291438541</v>
      </c>
      <c r="T35" s="46">
        <f t="shared" si="11"/>
        <v>1015.6555291438541</v>
      </c>
      <c r="U35" s="47">
        <v>46022</v>
      </c>
      <c r="V35" s="33"/>
      <c r="X35" s="17" t="s">
        <v>45</v>
      </c>
    </row>
    <row r="36" spans="1:24" s="17" customFormat="1" ht="30" x14ac:dyDescent="0.25">
      <c r="A36" s="87">
        <f t="shared" si="13"/>
        <v>18</v>
      </c>
      <c r="B36" s="76">
        <f t="shared" si="14"/>
        <v>15</v>
      </c>
      <c r="C36" s="51" t="s">
        <v>66</v>
      </c>
      <c r="D36" s="26">
        <v>1986</v>
      </c>
      <c r="E36" s="26"/>
      <c r="F36" s="53" t="s">
        <v>46</v>
      </c>
      <c r="G36" s="26">
        <v>5</v>
      </c>
      <c r="H36" s="26">
        <v>6</v>
      </c>
      <c r="I36" s="65">
        <v>6845.5</v>
      </c>
      <c r="J36" s="25">
        <v>5159.76</v>
      </c>
      <c r="K36" s="49">
        <v>0</v>
      </c>
      <c r="L36" s="25">
        <f t="shared" si="8"/>
        <v>5159.76</v>
      </c>
      <c r="M36" s="26">
        <v>200</v>
      </c>
      <c r="N36" s="46">
        <f t="shared" ref="N36:N60" si="17">O36+P36+Q36+R36</f>
        <v>7704352.7344479989</v>
      </c>
      <c r="O36" s="22">
        <v>0</v>
      </c>
      <c r="P36" s="22">
        <v>0</v>
      </c>
      <c r="Q36" s="22">
        <v>0</v>
      </c>
      <c r="R36" s="22">
        <f>'Прил.1.2-реестр дом'!G31</f>
        <v>7704352.7344479989</v>
      </c>
      <c r="S36" s="22">
        <f t="shared" ref="S36:S60" si="18">N36/J36</f>
        <v>1493.1610645549404</v>
      </c>
      <c r="T36" s="46">
        <f t="shared" si="11"/>
        <v>1493.1610645549404</v>
      </c>
      <c r="U36" s="47">
        <v>46022</v>
      </c>
      <c r="V36" s="33"/>
      <c r="X36" s="17" t="s">
        <v>42</v>
      </c>
    </row>
    <row r="37" spans="1:24" s="17" customFormat="1" ht="30" x14ac:dyDescent="0.25">
      <c r="A37" s="87">
        <f t="shared" si="13"/>
        <v>19</v>
      </c>
      <c r="B37" s="76">
        <f t="shared" si="14"/>
        <v>16</v>
      </c>
      <c r="C37" s="52" t="s">
        <v>67</v>
      </c>
      <c r="D37" s="26">
        <v>1971</v>
      </c>
      <c r="E37" s="26"/>
      <c r="F37" s="53" t="s">
        <v>46</v>
      </c>
      <c r="G37" s="26">
        <v>2</v>
      </c>
      <c r="H37" s="26">
        <v>2</v>
      </c>
      <c r="I37" s="65">
        <v>782.4</v>
      </c>
      <c r="J37" s="25">
        <v>722.6</v>
      </c>
      <c r="K37" s="49">
        <v>0</v>
      </c>
      <c r="L37" s="25">
        <f t="shared" si="8"/>
        <v>722.6</v>
      </c>
      <c r="M37" s="26">
        <v>34</v>
      </c>
      <c r="N37" s="46">
        <f t="shared" si="17"/>
        <v>3111570.5308800004</v>
      </c>
      <c r="O37" s="22">
        <v>0</v>
      </c>
      <c r="P37" s="22">
        <v>0</v>
      </c>
      <c r="Q37" s="22">
        <v>0</v>
      </c>
      <c r="R37" s="22">
        <f>'Прил.1.2-реестр дом'!G32</f>
        <v>3111570.5308800004</v>
      </c>
      <c r="S37" s="22">
        <f t="shared" si="18"/>
        <v>4306.0760183780794</v>
      </c>
      <c r="T37" s="46">
        <f t="shared" si="11"/>
        <v>4306.0760183780794</v>
      </c>
      <c r="U37" s="47">
        <v>46022</v>
      </c>
      <c r="V37" s="33"/>
      <c r="X37" s="17" t="s">
        <v>43</v>
      </c>
    </row>
    <row r="38" spans="1:24" s="17" customFormat="1" ht="30" x14ac:dyDescent="0.25">
      <c r="A38" s="87">
        <f t="shared" si="13"/>
        <v>20</v>
      </c>
      <c r="B38" s="76">
        <f t="shared" si="14"/>
        <v>17</v>
      </c>
      <c r="C38" s="52" t="s">
        <v>68</v>
      </c>
      <c r="D38" s="26">
        <v>1971</v>
      </c>
      <c r="E38" s="26"/>
      <c r="F38" s="53" t="s">
        <v>46</v>
      </c>
      <c r="G38" s="26">
        <v>2</v>
      </c>
      <c r="H38" s="26">
        <v>2</v>
      </c>
      <c r="I38" s="65">
        <v>790.9</v>
      </c>
      <c r="J38" s="25">
        <v>730.7</v>
      </c>
      <c r="K38" s="49">
        <v>0</v>
      </c>
      <c r="L38" s="25">
        <f t="shared" si="8"/>
        <v>730.7</v>
      </c>
      <c r="M38" s="26">
        <v>25</v>
      </c>
      <c r="N38" s="46">
        <f t="shared" si="17"/>
        <v>3145374.6585800005</v>
      </c>
      <c r="O38" s="22">
        <v>0</v>
      </c>
      <c r="P38" s="22">
        <v>0</v>
      </c>
      <c r="Q38" s="22">
        <v>0</v>
      </c>
      <c r="R38" s="22">
        <f>'Прил.1.2-реестр дом'!G33</f>
        <v>3145374.6585800005</v>
      </c>
      <c r="S38" s="22">
        <f t="shared" si="18"/>
        <v>4304.6047058710828</v>
      </c>
      <c r="T38" s="46">
        <f t="shared" si="11"/>
        <v>4304.6047058710828</v>
      </c>
      <c r="U38" s="47">
        <v>46022</v>
      </c>
      <c r="V38" s="33"/>
      <c r="X38" s="17" t="s">
        <v>43</v>
      </c>
    </row>
    <row r="39" spans="1:24" s="17" customFormat="1" ht="30" x14ac:dyDescent="0.25">
      <c r="A39" s="87">
        <f t="shared" si="13"/>
        <v>21</v>
      </c>
      <c r="B39" s="76">
        <f t="shared" si="14"/>
        <v>18</v>
      </c>
      <c r="C39" s="52" t="s">
        <v>69</v>
      </c>
      <c r="D39" s="26">
        <v>1985</v>
      </c>
      <c r="E39" s="26"/>
      <c r="F39" s="26" t="s">
        <v>53</v>
      </c>
      <c r="G39" s="26">
        <v>2</v>
      </c>
      <c r="H39" s="26">
        <v>3</v>
      </c>
      <c r="I39" s="65">
        <v>889.59</v>
      </c>
      <c r="J39" s="25">
        <v>851.39</v>
      </c>
      <c r="K39" s="49">
        <v>0</v>
      </c>
      <c r="L39" s="25">
        <f t="shared" si="8"/>
        <v>851.39</v>
      </c>
      <c r="M39" s="26">
        <v>31</v>
      </c>
      <c r="N39" s="46">
        <f t="shared" si="17"/>
        <v>3537860.4659580002</v>
      </c>
      <c r="O39" s="22">
        <v>0</v>
      </c>
      <c r="P39" s="22">
        <v>0</v>
      </c>
      <c r="Q39" s="22">
        <v>0</v>
      </c>
      <c r="R39" s="22">
        <f>'Прил.1.2-реестр дом'!G34</f>
        <v>3537860.4659580002</v>
      </c>
      <c r="S39" s="22">
        <f t="shared" si="18"/>
        <v>4155.3934929444795</v>
      </c>
      <c r="T39" s="46">
        <f t="shared" si="11"/>
        <v>4155.3934929444795</v>
      </c>
      <c r="U39" s="47">
        <v>46022</v>
      </c>
      <c r="V39" s="33"/>
      <c r="X39" s="17" t="s">
        <v>43</v>
      </c>
    </row>
    <row r="40" spans="1:24" s="17" customFormat="1" ht="30" x14ac:dyDescent="0.25">
      <c r="A40" s="87">
        <f t="shared" si="13"/>
        <v>22</v>
      </c>
      <c r="B40" s="76">
        <f t="shared" si="14"/>
        <v>19</v>
      </c>
      <c r="C40" s="52" t="s">
        <v>70</v>
      </c>
      <c r="D40" s="26">
        <v>1988</v>
      </c>
      <c r="E40" s="26"/>
      <c r="F40" s="26" t="s">
        <v>53</v>
      </c>
      <c r="G40" s="26">
        <v>2</v>
      </c>
      <c r="H40" s="26">
        <v>3</v>
      </c>
      <c r="I40" s="25">
        <v>1004.1</v>
      </c>
      <c r="J40" s="25">
        <v>967.49</v>
      </c>
      <c r="K40" s="49">
        <v>0</v>
      </c>
      <c r="L40" s="25">
        <f t="shared" si="8"/>
        <v>967.49</v>
      </c>
      <c r="M40" s="26">
        <v>34</v>
      </c>
      <c r="N40" s="46">
        <f t="shared" si="17"/>
        <v>3993261.7204199997</v>
      </c>
      <c r="O40" s="22">
        <v>0</v>
      </c>
      <c r="P40" s="22">
        <v>0</v>
      </c>
      <c r="Q40" s="22">
        <v>0</v>
      </c>
      <c r="R40" s="22">
        <f>'Прил.1.2-реестр дом'!G35</f>
        <v>3993261.7204199997</v>
      </c>
      <c r="S40" s="22">
        <f t="shared" si="18"/>
        <v>4127.4449559375289</v>
      </c>
      <c r="T40" s="46">
        <f t="shared" si="11"/>
        <v>4127.4449559375289</v>
      </c>
      <c r="U40" s="47">
        <v>46022</v>
      </c>
      <c r="V40" s="33"/>
      <c r="X40" s="17" t="s">
        <v>43</v>
      </c>
    </row>
    <row r="41" spans="1:24" s="17" customFormat="1" ht="30" x14ac:dyDescent="0.25">
      <c r="A41" s="87">
        <f t="shared" si="13"/>
        <v>23</v>
      </c>
      <c r="B41" s="76">
        <f t="shared" si="14"/>
        <v>20</v>
      </c>
      <c r="C41" s="52" t="s">
        <v>71</v>
      </c>
      <c r="D41" s="26">
        <v>1980</v>
      </c>
      <c r="E41" s="26"/>
      <c r="F41" s="26" t="s">
        <v>53</v>
      </c>
      <c r="G41" s="26">
        <v>2</v>
      </c>
      <c r="H41" s="26">
        <v>3</v>
      </c>
      <c r="I41" s="65">
        <v>881</v>
      </c>
      <c r="J41" s="25">
        <v>844.4</v>
      </c>
      <c r="K41" s="49">
        <v>0</v>
      </c>
      <c r="L41" s="25">
        <f t="shared" si="8"/>
        <v>844.4</v>
      </c>
      <c r="M41" s="26">
        <v>29</v>
      </c>
      <c r="N41" s="46">
        <f t="shared" si="17"/>
        <v>4044464.1335999998</v>
      </c>
      <c r="O41" s="22">
        <v>0</v>
      </c>
      <c r="P41" s="22">
        <v>0</v>
      </c>
      <c r="Q41" s="22">
        <v>0</v>
      </c>
      <c r="R41" s="22">
        <f>'Прил.1.2-реестр дом'!G36</f>
        <v>4044464.1335999998</v>
      </c>
      <c r="S41" s="22">
        <f t="shared" si="18"/>
        <v>4789.749092373283</v>
      </c>
      <c r="T41" s="46">
        <f t="shared" si="11"/>
        <v>4789.749092373283</v>
      </c>
      <c r="U41" s="47">
        <v>46022</v>
      </c>
      <c r="V41" s="33"/>
      <c r="X41" s="17" t="s">
        <v>42</v>
      </c>
    </row>
    <row r="42" spans="1:24" s="17" customFormat="1" ht="30" x14ac:dyDescent="0.25">
      <c r="A42" s="87">
        <f t="shared" si="13"/>
        <v>24</v>
      </c>
      <c r="B42" s="76">
        <f t="shared" si="14"/>
        <v>21</v>
      </c>
      <c r="C42" s="52" t="s">
        <v>72</v>
      </c>
      <c r="D42" s="26">
        <v>1975</v>
      </c>
      <c r="E42" s="26"/>
      <c r="F42" s="53" t="s">
        <v>46</v>
      </c>
      <c r="G42" s="26">
        <v>2</v>
      </c>
      <c r="H42" s="26">
        <v>3</v>
      </c>
      <c r="I42" s="65">
        <v>795.6</v>
      </c>
      <c r="J42" s="25">
        <v>735.8</v>
      </c>
      <c r="K42" s="49">
        <f>41.7+40.8</f>
        <v>82.5</v>
      </c>
      <c r="L42" s="25">
        <f t="shared" si="8"/>
        <v>653.29999999999995</v>
      </c>
      <c r="M42" s="26">
        <v>38</v>
      </c>
      <c r="N42" s="46">
        <f t="shared" si="17"/>
        <v>3239737.4793999996</v>
      </c>
      <c r="O42" s="22">
        <v>0</v>
      </c>
      <c r="P42" s="22">
        <v>0</v>
      </c>
      <c r="Q42" s="22">
        <v>0</v>
      </c>
      <c r="R42" s="22">
        <f>'Прил.1.2-реестр дом'!G37</f>
        <v>3239737.4793999996</v>
      </c>
      <c r="S42" s="22">
        <f t="shared" si="18"/>
        <v>4403.0136985593908</v>
      </c>
      <c r="T42" s="46">
        <f t="shared" si="11"/>
        <v>4403.0136985593908</v>
      </c>
      <c r="U42" s="47">
        <v>46022</v>
      </c>
      <c r="V42" s="33"/>
      <c r="X42" s="17" t="s">
        <v>42</v>
      </c>
    </row>
    <row r="43" spans="1:24" s="17" customFormat="1" ht="30" x14ac:dyDescent="0.25">
      <c r="A43" s="87">
        <f t="shared" si="13"/>
        <v>25</v>
      </c>
      <c r="B43" s="76">
        <f t="shared" si="14"/>
        <v>22</v>
      </c>
      <c r="C43" s="52" t="s">
        <v>73</v>
      </c>
      <c r="D43" s="26">
        <v>1977</v>
      </c>
      <c r="E43" s="26"/>
      <c r="F43" s="53" t="s">
        <v>46</v>
      </c>
      <c r="G43" s="26">
        <v>2</v>
      </c>
      <c r="H43" s="26">
        <v>2</v>
      </c>
      <c r="I43" s="65">
        <v>792.1</v>
      </c>
      <c r="J43" s="25">
        <v>733.2</v>
      </c>
      <c r="K43" s="49">
        <v>0</v>
      </c>
      <c r="L43" s="25">
        <f t="shared" si="8"/>
        <v>733.2</v>
      </c>
      <c r="M43" s="26">
        <v>35</v>
      </c>
      <c r="N43" s="46">
        <f t="shared" si="17"/>
        <v>3239569.4793999996</v>
      </c>
      <c r="O43" s="22">
        <v>0</v>
      </c>
      <c r="P43" s="22">
        <v>0</v>
      </c>
      <c r="Q43" s="22">
        <v>0</v>
      </c>
      <c r="R43" s="22">
        <f>'Прил.1.2-реестр дом'!G38</f>
        <v>3239569.4793999996</v>
      </c>
      <c r="S43" s="22">
        <f t="shared" si="18"/>
        <v>4418.3980897435886</v>
      </c>
      <c r="T43" s="46">
        <f t="shared" si="11"/>
        <v>4418.3980897435886</v>
      </c>
      <c r="U43" s="47">
        <v>46022</v>
      </c>
      <c r="V43" s="33"/>
      <c r="X43" s="17" t="s">
        <v>42</v>
      </c>
    </row>
    <row r="44" spans="1:24" s="17" customFormat="1" ht="30" x14ac:dyDescent="0.25">
      <c r="A44" s="87">
        <f t="shared" si="13"/>
        <v>26</v>
      </c>
      <c r="B44" s="76">
        <f t="shared" si="14"/>
        <v>23</v>
      </c>
      <c r="C44" s="52" t="s">
        <v>90</v>
      </c>
      <c r="D44" s="26">
        <v>1979</v>
      </c>
      <c r="E44" s="26"/>
      <c r="F44" s="53" t="s">
        <v>53</v>
      </c>
      <c r="G44" s="26">
        <v>2</v>
      </c>
      <c r="H44" s="26">
        <v>1</v>
      </c>
      <c r="I44" s="65">
        <v>420.7</v>
      </c>
      <c r="J44" s="25">
        <v>374.5</v>
      </c>
      <c r="K44" s="49">
        <v>0</v>
      </c>
      <c r="L44" s="25">
        <f t="shared" si="8"/>
        <v>374.5</v>
      </c>
      <c r="M44" s="26">
        <v>17</v>
      </c>
      <c r="N44" s="46">
        <f t="shared" si="17"/>
        <v>1673105.4733400003</v>
      </c>
      <c r="O44" s="22">
        <v>0</v>
      </c>
      <c r="P44" s="22">
        <v>0</v>
      </c>
      <c r="Q44" s="22">
        <v>0</v>
      </c>
      <c r="R44" s="22">
        <f>'Прил.1.2-реестр дом'!G39</f>
        <v>1673105.4733400003</v>
      </c>
      <c r="S44" s="22">
        <f t="shared" ref="S44:S45" si="19">N44/J44</f>
        <v>4467.5713573831781</v>
      </c>
      <c r="T44" s="46">
        <f t="shared" ref="T44:T45" si="20">S44</f>
        <v>4467.5713573831781</v>
      </c>
      <c r="U44" s="47">
        <v>46023</v>
      </c>
      <c r="V44" s="33"/>
    </row>
    <row r="45" spans="1:24" s="17" customFormat="1" ht="30" x14ac:dyDescent="0.25">
      <c r="A45" s="87">
        <f t="shared" si="13"/>
        <v>27</v>
      </c>
      <c r="B45" s="76">
        <f t="shared" si="14"/>
        <v>24</v>
      </c>
      <c r="C45" s="52" t="s">
        <v>91</v>
      </c>
      <c r="D45" s="26">
        <v>1979</v>
      </c>
      <c r="E45" s="26"/>
      <c r="F45" s="53" t="s">
        <v>53</v>
      </c>
      <c r="G45" s="26">
        <v>2</v>
      </c>
      <c r="H45" s="26">
        <v>1</v>
      </c>
      <c r="I45" s="65">
        <v>431.3</v>
      </c>
      <c r="J45" s="25">
        <v>384.5</v>
      </c>
      <c r="K45" s="49">
        <v>0</v>
      </c>
      <c r="L45" s="25">
        <v>384.5</v>
      </c>
      <c r="M45" s="26">
        <v>16</v>
      </c>
      <c r="N45" s="46">
        <f t="shared" si="17"/>
        <v>1715261.2090599998</v>
      </c>
      <c r="O45" s="22">
        <v>0</v>
      </c>
      <c r="P45" s="22">
        <v>0</v>
      </c>
      <c r="Q45" s="22">
        <v>0</v>
      </c>
      <c r="R45" s="22">
        <f>'Прил.1.2-реестр дом'!G40</f>
        <v>1715261.2090599998</v>
      </c>
      <c r="S45" s="22">
        <f t="shared" si="19"/>
        <v>4461.017448790637</v>
      </c>
      <c r="T45" s="46">
        <f t="shared" si="20"/>
        <v>4461.017448790637</v>
      </c>
      <c r="U45" s="47">
        <v>46024</v>
      </c>
      <c r="V45" s="33"/>
    </row>
    <row r="46" spans="1:24" s="17" customFormat="1" ht="30" x14ac:dyDescent="0.25">
      <c r="A46" s="87">
        <f t="shared" si="13"/>
        <v>28</v>
      </c>
      <c r="B46" s="76">
        <f t="shared" si="14"/>
        <v>25</v>
      </c>
      <c r="C46" s="52" t="s">
        <v>74</v>
      </c>
      <c r="D46" s="26">
        <v>1979</v>
      </c>
      <c r="E46" s="26"/>
      <c r="F46" s="26" t="s">
        <v>53</v>
      </c>
      <c r="G46" s="26">
        <v>2</v>
      </c>
      <c r="H46" s="26">
        <v>1</v>
      </c>
      <c r="I46" s="65">
        <v>439.1</v>
      </c>
      <c r="J46" s="25">
        <v>390.3</v>
      </c>
      <c r="K46" s="49">
        <v>0</v>
      </c>
      <c r="L46" s="25">
        <f t="shared" si="8"/>
        <v>390.3</v>
      </c>
      <c r="M46" s="26">
        <v>15</v>
      </c>
      <c r="N46" s="46">
        <f t="shared" si="17"/>
        <v>1746281.4674200001</v>
      </c>
      <c r="O46" s="22">
        <v>0</v>
      </c>
      <c r="P46" s="22">
        <v>0</v>
      </c>
      <c r="Q46" s="22">
        <v>0</v>
      </c>
      <c r="R46" s="22">
        <f>'Прил.1.2-реестр дом'!G41</f>
        <v>1746281.4674200001</v>
      </c>
      <c r="S46" s="22">
        <f t="shared" si="18"/>
        <v>4474.20309356905</v>
      </c>
      <c r="T46" s="46">
        <f t="shared" si="11"/>
        <v>4474.20309356905</v>
      </c>
      <c r="U46" s="47">
        <v>46022</v>
      </c>
      <c r="V46" s="33"/>
      <c r="X46" s="17" t="s">
        <v>43</v>
      </c>
    </row>
    <row r="47" spans="1:24" s="17" customFormat="1" ht="30" x14ac:dyDescent="0.25">
      <c r="A47" s="87">
        <f t="shared" si="13"/>
        <v>29</v>
      </c>
      <c r="B47" s="76">
        <f t="shared" si="14"/>
        <v>26</v>
      </c>
      <c r="C47" s="52" t="s">
        <v>75</v>
      </c>
      <c r="D47" s="26">
        <v>1979</v>
      </c>
      <c r="E47" s="26"/>
      <c r="F47" s="26" t="s">
        <v>53</v>
      </c>
      <c r="G47" s="26">
        <v>2</v>
      </c>
      <c r="H47" s="26">
        <v>1</v>
      </c>
      <c r="I47" s="65">
        <v>462.2</v>
      </c>
      <c r="J47" s="25">
        <v>413.4</v>
      </c>
      <c r="K47" s="49">
        <v>0</v>
      </c>
      <c r="L47" s="25">
        <f t="shared" si="8"/>
        <v>413.4</v>
      </c>
      <c r="M47" s="26">
        <v>24</v>
      </c>
      <c r="N47" s="46">
        <f t="shared" si="17"/>
        <v>1838149.1556400002</v>
      </c>
      <c r="O47" s="22">
        <v>0</v>
      </c>
      <c r="P47" s="22">
        <v>0</v>
      </c>
      <c r="Q47" s="22">
        <v>0</v>
      </c>
      <c r="R47" s="22">
        <f>'Прил.1.2-реестр дом'!G42</f>
        <v>1838149.1556400002</v>
      </c>
      <c r="S47" s="22">
        <f t="shared" si="18"/>
        <v>4446.4178897919701</v>
      </c>
      <c r="T47" s="46">
        <f t="shared" si="11"/>
        <v>4446.4178897919701</v>
      </c>
      <c r="U47" s="47">
        <v>46022</v>
      </c>
      <c r="V47" s="33"/>
      <c r="X47" s="17" t="s">
        <v>43</v>
      </c>
    </row>
    <row r="48" spans="1:24" s="17" customFormat="1" ht="30" x14ac:dyDescent="0.25">
      <c r="A48" s="87">
        <f t="shared" si="13"/>
        <v>30</v>
      </c>
      <c r="B48" s="76">
        <f t="shared" si="14"/>
        <v>27</v>
      </c>
      <c r="C48" s="52" t="s">
        <v>76</v>
      </c>
      <c r="D48" s="26">
        <v>1978</v>
      </c>
      <c r="E48" s="26"/>
      <c r="F48" s="26" t="s">
        <v>53</v>
      </c>
      <c r="G48" s="26">
        <v>2</v>
      </c>
      <c r="H48" s="26">
        <v>1</v>
      </c>
      <c r="I48" s="65">
        <v>425.8</v>
      </c>
      <c r="J48" s="25">
        <v>379.7</v>
      </c>
      <c r="K48" s="49">
        <f>36.2</f>
        <v>36.200000000000003</v>
      </c>
      <c r="L48" s="25">
        <f t="shared" si="8"/>
        <v>343.5</v>
      </c>
      <c r="M48" s="26">
        <v>16</v>
      </c>
      <c r="N48" s="46">
        <f t="shared" si="17"/>
        <v>1693387.9499599999</v>
      </c>
      <c r="O48" s="22">
        <v>0</v>
      </c>
      <c r="P48" s="22">
        <v>0</v>
      </c>
      <c r="Q48" s="22">
        <v>0</v>
      </c>
      <c r="R48" s="22">
        <f>'Прил.1.2-реестр дом'!G43</f>
        <v>1693387.9499599999</v>
      </c>
      <c r="S48" s="22">
        <f t="shared" si="18"/>
        <v>4459.8049775085592</v>
      </c>
      <c r="T48" s="46">
        <f t="shared" si="11"/>
        <v>4459.8049775085592</v>
      </c>
      <c r="U48" s="47">
        <v>46022</v>
      </c>
      <c r="V48" s="33"/>
      <c r="X48" s="17" t="s">
        <v>43</v>
      </c>
    </row>
    <row r="49" spans="1:24" s="17" customFormat="1" ht="30" x14ac:dyDescent="0.25">
      <c r="A49" s="87">
        <f t="shared" si="13"/>
        <v>31</v>
      </c>
      <c r="B49" s="76">
        <f t="shared" si="14"/>
        <v>28</v>
      </c>
      <c r="C49" s="52" t="s">
        <v>77</v>
      </c>
      <c r="D49" s="26">
        <v>1972</v>
      </c>
      <c r="E49" s="26"/>
      <c r="F49" s="26" t="s">
        <v>46</v>
      </c>
      <c r="G49" s="26">
        <v>2</v>
      </c>
      <c r="H49" s="26">
        <v>2</v>
      </c>
      <c r="I49" s="65">
        <v>801.3</v>
      </c>
      <c r="J49" s="25">
        <v>741.5</v>
      </c>
      <c r="K49" s="49">
        <f>41.6</f>
        <v>41.6</v>
      </c>
      <c r="L49" s="25">
        <f t="shared" si="8"/>
        <v>699.9</v>
      </c>
      <c r="M49" s="26">
        <v>36</v>
      </c>
      <c r="N49" s="46">
        <f t="shared" si="17"/>
        <v>2830359.3922199998</v>
      </c>
      <c r="O49" s="22">
        <v>0</v>
      </c>
      <c r="P49" s="22">
        <v>0</v>
      </c>
      <c r="Q49" s="22">
        <v>0</v>
      </c>
      <c r="R49" s="22">
        <f>'Прил.1.2-реестр дом'!G44</f>
        <v>2830359.3922199998</v>
      </c>
      <c r="S49" s="22">
        <f t="shared" si="18"/>
        <v>3817.0726799999998</v>
      </c>
      <c r="T49" s="46">
        <f t="shared" si="11"/>
        <v>3817.0726799999998</v>
      </c>
      <c r="U49" s="47">
        <v>46022</v>
      </c>
      <c r="V49" s="33"/>
      <c r="X49" s="17" t="s">
        <v>44</v>
      </c>
    </row>
    <row r="50" spans="1:24" s="17" customFormat="1" ht="30" x14ac:dyDescent="0.25">
      <c r="A50" s="87">
        <f t="shared" si="13"/>
        <v>32</v>
      </c>
      <c r="B50" s="76">
        <f t="shared" si="14"/>
        <v>29</v>
      </c>
      <c r="C50" s="52" t="s">
        <v>78</v>
      </c>
      <c r="D50" s="26">
        <v>1971</v>
      </c>
      <c r="E50" s="26"/>
      <c r="F50" s="26" t="s">
        <v>53</v>
      </c>
      <c r="G50" s="26">
        <v>2</v>
      </c>
      <c r="H50" s="26">
        <v>1</v>
      </c>
      <c r="I50" s="65">
        <v>371</v>
      </c>
      <c r="J50" s="25">
        <v>338.04</v>
      </c>
      <c r="K50" s="49">
        <v>0</v>
      </c>
      <c r="L50" s="25">
        <f t="shared" si="8"/>
        <v>338.04</v>
      </c>
      <c r="M50" s="26">
        <v>16</v>
      </c>
      <c r="N50" s="46">
        <f t="shared" si="17"/>
        <v>1310449.6873999999</v>
      </c>
      <c r="O50" s="22">
        <v>0</v>
      </c>
      <c r="P50" s="22">
        <v>0</v>
      </c>
      <c r="Q50" s="22">
        <v>0</v>
      </c>
      <c r="R50" s="22">
        <f>'Прил.1.2-реестр дом'!G45</f>
        <v>1310449.6873999999</v>
      </c>
      <c r="S50" s="22">
        <f t="shared" si="18"/>
        <v>3876.611310495799</v>
      </c>
      <c r="T50" s="46">
        <f t="shared" si="11"/>
        <v>3876.611310495799</v>
      </c>
      <c r="U50" s="47">
        <v>46022</v>
      </c>
      <c r="V50" s="33"/>
      <c r="X50" s="17" t="s">
        <v>44</v>
      </c>
    </row>
    <row r="51" spans="1:24" s="17" customFormat="1" ht="30" x14ac:dyDescent="0.25">
      <c r="A51" s="87">
        <f t="shared" si="13"/>
        <v>33</v>
      </c>
      <c r="B51" s="76">
        <f t="shared" si="14"/>
        <v>30</v>
      </c>
      <c r="C51" s="52" t="s">
        <v>79</v>
      </c>
      <c r="D51" s="26">
        <v>1968</v>
      </c>
      <c r="E51" s="26"/>
      <c r="F51" s="26" t="s">
        <v>46</v>
      </c>
      <c r="G51" s="26">
        <v>2</v>
      </c>
      <c r="H51" s="26">
        <v>2</v>
      </c>
      <c r="I51" s="65">
        <v>701.7</v>
      </c>
      <c r="J51" s="25">
        <v>536.29999999999995</v>
      </c>
      <c r="K51" s="49">
        <v>0</v>
      </c>
      <c r="L51" s="25">
        <f t="shared" si="8"/>
        <v>536.29999999999995</v>
      </c>
      <c r="M51" s="26">
        <v>21</v>
      </c>
      <c r="N51" s="46">
        <f t="shared" si="17"/>
        <v>2478551.3359800004</v>
      </c>
      <c r="O51" s="22">
        <v>0</v>
      </c>
      <c r="P51" s="22">
        <v>0</v>
      </c>
      <c r="Q51" s="22">
        <v>0</v>
      </c>
      <c r="R51" s="22">
        <f>'Прил.1.2-реестр дом'!G46</f>
        <v>2478551.3359800004</v>
      </c>
      <c r="S51" s="22">
        <f t="shared" si="18"/>
        <v>4621.5762371433912</v>
      </c>
      <c r="T51" s="46">
        <f t="shared" si="11"/>
        <v>4621.5762371433912</v>
      </c>
      <c r="U51" s="47">
        <v>46022</v>
      </c>
      <c r="V51" s="33"/>
      <c r="X51" s="17" t="s">
        <v>44</v>
      </c>
    </row>
    <row r="52" spans="1:24" s="17" customFormat="1" ht="30" x14ac:dyDescent="0.25">
      <c r="A52" s="87">
        <f t="shared" si="13"/>
        <v>34</v>
      </c>
      <c r="B52" s="76">
        <f t="shared" si="14"/>
        <v>31</v>
      </c>
      <c r="C52" s="52" t="s">
        <v>80</v>
      </c>
      <c r="D52" s="26">
        <v>1968</v>
      </c>
      <c r="E52" s="26"/>
      <c r="F52" s="26" t="s">
        <v>46</v>
      </c>
      <c r="G52" s="26">
        <v>2</v>
      </c>
      <c r="H52" s="26">
        <v>2</v>
      </c>
      <c r="I52" s="65">
        <v>833.7</v>
      </c>
      <c r="J52" s="25">
        <v>778.2</v>
      </c>
      <c r="K52" s="49">
        <f>43.5</f>
        <v>43.5</v>
      </c>
      <c r="L52" s="25">
        <f t="shared" si="8"/>
        <v>734.7</v>
      </c>
      <c r="M52" s="26">
        <v>29</v>
      </c>
      <c r="N52" s="46">
        <f t="shared" si="17"/>
        <v>2944802.9767800001</v>
      </c>
      <c r="O52" s="22">
        <v>0</v>
      </c>
      <c r="P52" s="22">
        <v>0</v>
      </c>
      <c r="Q52" s="22">
        <v>0</v>
      </c>
      <c r="R52" s="22">
        <f>'Прил.1.2-реестр дом'!G47</f>
        <v>2944802.9767800001</v>
      </c>
      <c r="S52" s="22">
        <f t="shared" si="18"/>
        <v>3784.1210187355437</v>
      </c>
      <c r="T52" s="46">
        <f t="shared" si="11"/>
        <v>3784.1210187355437</v>
      </c>
      <c r="U52" s="47">
        <v>46022</v>
      </c>
      <c r="V52" s="33"/>
      <c r="X52" s="17" t="s">
        <v>44</v>
      </c>
    </row>
    <row r="53" spans="1:24" s="17" customFormat="1" ht="30" x14ac:dyDescent="0.25">
      <c r="A53" s="87">
        <f t="shared" si="13"/>
        <v>35</v>
      </c>
      <c r="B53" s="76">
        <f t="shared" si="14"/>
        <v>32</v>
      </c>
      <c r="C53" s="52" t="s">
        <v>81</v>
      </c>
      <c r="D53" s="26">
        <v>1967</v>
      </c>
      <c r="E53" s="26"/>
      <c r="F53" s="26" t="s">
        <v>46</v>
      </c>
      <c r="G53" s="26">
        <v>2</v>
      </c>
      <c r="H53" s="26">
        <v>2</v>
      </c>
      <c r="I53" s="65">
        <v>838.5</v>
      </c>
      <c r="J53" s="25">
        <v>720.4</v>
      </c>
      <c r="K53" s="49">
        <v>0</v>
      </c>
      <c r="L53" s="25">
        <f t="shared" si="8"/>
        <v>720.4</v>
      </c>
      <c r="M53" s="26">
        <v>26</v>
      </c>
      <c r="N53" s="46">
        <f t="shared" si="17"/>
        <v>2961757.5819000001</v>
      </c>
      <c r="O53" s="22">
        <v>0</v>
      </c>
      <c r="P53" s="22">
        <v>0</v>
      </c>
      <c r="Q53" s="22">
        <v>0</v>
      </c>
      <c r="R53" s="22">
        <f>'Прил.1.2-реестр дом'!G48</f>
        <v>2961757.5819000001</v>
      </c>
      <c r="S53" s="22">
        <f t="shared" si="18"/>
        <v>4111.268159217102</v>
      </c>
      <c r="T53" s="46">
        <f t="shared" si="11"/>
        <v>4111.268159217102</v>
      </c>
      <c r="U53" s="47">
        <v>46022</v>
      </c>
      <c r="V53" s="33"/>
      <c r="X53" s="17" t="s">
        <v>44</v>
      </c>
    </row>
    <row r="54" spans="1:24" s="17" customFormat="1" ht="30" x14ac:dyDescent="0.25">
      <c r="A54" s="87">
        <f t="shared" si="13"/>
        <v>36</v>
      </c>
      <c r="B54" s="76">
        <f t="shared" si="14"/>
        <v>33</v>
      </c>
      <c r="C54" s="52" t="s">
        <v>82</v>
      </c>
      <c r="D54" s="26">
        <v>1972</v>
      </c>
      <c r="E54" s="26"/>
      <c r="F54" s="26" t="s">
        <v>53</v>
      </c>
      <c r="G54" s="26">
        <v>2</v>
      </c>
      <c r="H54" s="26">
        <v>1</v>
      </c>
      <c r="I54" s="65">
        <v>440</v>
      </c>
      <c r="J54" s="25">
        <v>356.5</v>
      </c>
      <c r="K54" s="49">
        <f>58</f>
        <v>58</v>
      </c>
      <c r="L54" s="25">
        <f t="shared" ref="L54:L60" si="21">J54-K54</f>
        <v>298.5</v>
      </c>
      <c r="M54" s="26">
        <v>12</v>
      </c>
      <c r="N54" s="46">
        <f t="shared" si="17"/>
        <v>1749860.7280000001</v>
      </c>
      <c r="O54" s="22">
        <v>0</v>
      </c>
      <c r="P54" s="22">
        <v>0</v>
      </c>
      <c r="Q54" s="22">
        <v>0</v>
      </c>
      <c r="R54" s="22">
        <f>'Прил.1.2-реестр дом'!G49</f>
        <v>1749860.7280000001</v>
      </c>
      <c r="S54" s="22">
        <f t="shared" si="18"/>
        <v>4908.4452398316971</v>
      </c>
      <c r="T54" s="46">
        <f t="shared" si="11"/>
        <v>4908.4452398316971</v>
      </c>
      <c r="U54" s="47">
        <v>46022</v>
      </c>
      <c r="V54" s="33"/>
      <c r="X54" s="17" t="s">
        <v>43</v>
      </c>
    </row>
    <row r="55" spans="1:24" s="17" customFormat="1" ht="30" x14ac:dyDescent="0.25">
      <c r="A55" s="87">
        <f t="shared" si="13"/>
        <v>37</v>
      </c>
      <c r="B55" s="76">
        <f t="shared" si="14"/>
        <v>34</v>
      </c>
      <c r="C55" s="52" t="s">
        <v>83</v>
      </c>
      <c r="D55" s="26">
        <v>1967</v>
      </c>
      <c r="E55" s="26"/>
      <c r="F55" s="26" t="s">
        <v>46</v>
      </c>
      <c r="G55" s="26">
        <v>2</v>
      </c>
      <c r="H55" s="26">
        <v>2</v>
      </c>
      <c r="I55" s="65">
        <v>540.9</v>
      </c>
      <c r="J55" s="25">
        <v>340.31</v>
      </c>
      <c r="K55" s="49">
        <f>24+28</f>
        <v>52</v>
      </c>
      <c r="L55" s="25">
        <f t="shared" si="21"/>
        <v>288.31</v>
      </c>
      <c r="M55" s="26">
        <v>18</v>
      </c>
      <c r="N55" s="46">
        <f t="shared" si="17"/>
        <v>2151135.6085799998</v>
      </c>
      <c r="O55" s="22">
        <v>0</v>
      </c>
      <c r="P55" s="22">
        <v>0</v>
      </c>
      <c r="Q55" s="22">
        <v>0</v>
      </c>
      <c r="R55" s="22">
        <f>'Прил.1.2-реестр дом'!G50</f>
        <v>2151135.6085799998</v>
      </c>
      <c r="S55" s="22">
        <f t="shared" si="18"/>
        <v>6321.1060755781482</v>
      </c>
      <c r="T55" s="46">
        <f t="shared" si="11"/>
        <v>6321.1060755781482</v>
      </c>
      <c r="U55" s="47">
        <v>46022</v>
      </c>
      <c r="V55" s="33"/>
      <c r="X55" s="17" t="s">
        <v>43</v>
      </c>
    </row>
    <row r="56" spans="1:24" s="17" customFormat="1" ht="30" x14ac:dyDescent="0.25">
      <c r="A56" s="87">
        <f t="shared" si="13"/>
        <v>38</v>
      </c>
      <c r="B56" s="76">
        <f t="shared" si="14"/>
        <v>35</v>
      </c>
      <c r="C56" s="52" t="s">
        <v>84</v>
      </c>
      <c r="D56" s="26">
        <v>1964</v>
      </c>
      <c r="E56" s="26"/>
      <c r="F56" s="26" t="s">
        <v>46</v>
      </c>
      <c r="G56" s="26">
        <v>2</v>
      </c>
      <c r="H56" s="26">
        <v>2</v>
      </c>
      <c r="I56" s="65">
        <v>694</v>
      </c>
      <c r="J56" s="25">
        <v>502.14</v>
      </c>
      <c r="K56" s="49">
        <v>0</v>
      </c>
      <c r="L56" s="25">
        <f t="shared" si="21"/>
        <v>502.14</v>
      </c>
      <c r="M56" s="26">
        <v>21</v>
      </c>
      <c r="N56" s="46">
        <f t="shared" si="17"/>
        <v>2719210.4643000001</v>
      </c>
      <c r="O56" s="22">
        <v>0</v>
      </c>
      <c r="P56" s="22">
        <v>0</v>
      </c>
      <c r="Q56" s="22">
        <v>0</v>
      </c>
      <c r="R56" s="22">
        <f>'Прил.1.2-реестр дом'!G51</f>
        <v>2719210.4643000001</v>
      </c>
      <c r="S56" s="22">
        <f t="shared" si="18"/>
        <v>5415.2436856255235</v>
      </c>
      <c r="T56" s="46">
        <f t="shared" si="11"/>
        <v>5415.2436856255235</v>
      </c>
      <c r="U56" s="47">
        <v>46022</v>
      </c>
      <c r="V56" s="33"/>
      <c r="X56" s="17" t="s">
        <v>42</v>
      </c>
    </row>
    <row r="57" spans="1:24" s="17" customFormat="1" ht="30" x14ac:dyDescent="0.25">
      <c r="A57" s="87">
        <f t="shared" si="13"/>
        <v>39</v>
      </c>
      <c r="B57" s="76">
        <f t="shared" si="14"/>
        <v>36</v>
      </c>
      <c r="C57" s="52" t="s">
        <v>85</v>
      </c>
      <c r="D57" s="26">
        <v>1968</v>
      </c>
      <c r="E57" s="26"/>
      <c r="F57" s="26" t="s">
        <v>46</v>
      </c>
      <c r="G57" s="26">
        <v>2</v>
      </c>
      <c r="H57" s="26">
        <v>2</v>
      </c>
      <c r="I57" s="65">
        <v>794.4</v>
      </c>
      <c r="J57" s="25">
        <v>673.2</v>
      </c>
      <c r="K57" s="49">
        <v>34.200000000000003</v>
      </c>
      <c r="L57" s="25">
        <f t="shared" si="21"/>
        <v>639</v>
      </c>
      <c r="M57" s="26">
        <v>33</v>
      </c>
      <c r="N57" s="46">
        <f t="shared" si="17"/>
        <v>3354055.23</v>
      </c>
      <c r="O57" s="22">
        <v>0</v>
      </c>
      <c r="P57" s="22">
        <v>0</v>
      </c>
      <c r="Q57" s="22">
        <v>0</v>
      </c>
      <c r="R57" s="22">
        <f>'Прил.1.2-реестр дом'!G52</f>
        <v>3354055.23</v>
      </c>
      <c r="S57" s="22">
        <f t="shared" si="18"/>
        <v>4982.2567290552579</v>
      </c>
      <c r="T57" s="46">
        <f t="shared" si="11"/>
        <v>4982.2567290552579</v>
      </c>
      <c r="U57" s="47">
        <v>46022</v>
      </c>
      <c r="V57" s="33"/>
      <c r="X57" s="17" t="s">
        <v>42</v>
      </c>
    </row>
    <row r="58" spans="1:24" s="17" customFormat="1" ht="30" x14ac:dyDescent="0.25">
      <c r="A58" s="87">
        <f t="shared" si="13"/>
        <v>40</v>
      </c>
      <c r="B58" s="76">
        <f t="shared" si="14"/>
        <v>37</v>
      </c>
      <c r="C58" s="52" t="s">
        <v>86</v>
      </c>
      <c r="D58" s="26">
        <v>1971</v>
      </c>
      <c r="E58" s="26"/>
      <c r="F58" s="26" t="s">
        <v>54</v>
      </c>
      <c r="G58" s="26">
        <v>2</v>
      </c>
      <c r="H58" s="26">
        <v>2</v>
      </c>
      <c r="I58" s="65">
        <v>755.2</v>
      </c>
      <c r="J58" s="25">
        <v>643.4</v>
      </c>
      <c r="K58" s="49">
        <f>40.2+52</f>
        <v>92.2</v>
      </c>
      <c r="L58" s="25">
        <f t="shared" si="21"/>
        <v>551.19999999999993</v>
      </c>
      <c r="M58" s="26">
        <v>33</v>
      </c>
      <c r="N58" s="46">
        <f t="shared" si="17"/>
        <v>3003397.3222400001</v>
      </c>
      <c r="O58" s="22">
        <v>0</v>
      </c>
      <c r="P58" s="22">
        <v>0</v>
      </c>
      <c r="Q58" s="22">
        <v>0</v>
      </c>
      <c r="R58" s="22">
        <f>'Прил.1.2-реестр дом'!G53</f>
        <v>3003397.3222400001</v>
      </c>
      <c r="S58" s="22">
        <f t="shared" si="18"/>
        <v>4668.0095154491764</v>
      </c>
      <c r="T58" s="46">
        <f t="shared" si="11"/>
        <v>4668.0095154491764</v>
      </c>
      <c r="U58" s="47">
        <v>46022</v>
      </c>
      <c r="V58" s="33"/>
      <c r="X58" s="17" t="s">
        <v>43</v>
      </c>
    </row>
    <row r="59" spans="1:24" s="17" customFormat="1" ht="30" x14ac:dyDescent="0.25">
      <c r="A59" s="87">
        <f t="shared" si="13"/>
        <v>41</v>
      </c>
      <c r="B59" s="76">
        <f t="shared" si="14"/>
        <v>38</v>
      </c>
      <c r="C59" s="52" t="s">
        <v>87</v>
      </c>
      <c r="D59" s="26">
        <v>1971</v>
      </c>
      <c r="E59" s="26"/>
      <c r="F59" s="26" t="s">
        <v>54</v>
      </c>
      <c r="G59" s="26">
        <v>2</v>
      </c>
      <c r="H59" s="26">
        <v>2</v>
      </c>
      <c r="I59" s="65">
        <v>749.3</v>
      </c>
      <c r="J59" s="25">
        <v>689.5</v>
      </c>
      <c r="K59" s="49">
        <v>0</v>
      </c>
      <c r="L59" s="25">
        <f t="shared" si="21"/>
        <v>689.5</v>
      </c>
      <c r="M59" s="26">
        <v>28</v>
      </c>
      <c r="N59" s="46">
        <f t="shared" si="17"/>
        <v>2979933.2806599997</v>
      </c>
      <c r="O59" s="22">
        <v>0</v>
      </c>
      <c r="P59" s="22">
        <v>0</v>
      </c>
      <c r="Q59" s="22">
        <v>0</v>
      </c>
      <c r="R59" s="22">
        <f>'Прил.1.2-реестр дом'!G54</f>
        <v>2979933.2806599997</v>
      </c>
      <c r="S59" s="22">
        <f t="shared" si="18"/>
        <v>4321.8756789847712</v>
      </c>
      <c r="T59" s="46">
        <f t="shared" si="11"/>
        <v>4321.8756789847712</v>
      </c>
      <c r="U59" s="47">
        <v>46022</v>
      </c>
      <c r="V59" s="33"/>
      <c r="X59" s="17" t="s">
        <v>43</v>
      </c>
    </row>
    <row r="60" spans="1:24" s="17" customFormat="1" ht="30" x14ac:dyDescent="0.25">
      <c r="A60" s="87">
        <f t="shared" si="13"/>
        <v>42</v>
      </c>
      <c r="B60" s="76">
        <f t="shared" si="14"/>
        <v>39</v>
      </c>
      <c r="C60" s="52" t="s">
        <v>88</v>
      </c>
      <c r="D60" s="26">
        <v>1981</v>
      </c>
      <c r="E60" s="26"/>
      <c r="F60" s="26" t="s">
        <v>46</v>
      </c>
      <c r="G60" s="26">
        <v>5</v>
      </c>
      <c r="H60" s="26">
        <v>4</v>
      </c>
      <c r="I60" s="65">
        <v>3418.5</v>
      </c>
      <c r="J60" s="25">
        <v>2699.2</v>
      </c>
      <c r="K60" s="49">
        <v>0</v>
      </c>
      <c r="L60" s="25">
        <f t="shared" si="21"/>
        <v>2699.2</v>
      </c>
      <c r="M60" s="26">
        <v>119</v>
      </c>
      <c r="N60" s="46">
        <f t="shared" si="17"/>
        <v>4853147.4623999996</v>
      </c>
      <c r="O60" s="22">
        <v>0</v>
      </c>
      <c r="P60" s="22">
        <v>0</v>
      </c>
      <c r="Q60" s="22">
        <v>0</v>
      </c>
      <c r="R60" s="22">
        <f>'Прил.1.2-реестр дом'!G55</f>
        <v>4853147.4623999996</v>
      </c>
      <c r="S60" s="22">
        <f t="shared" si="18"/>
        <v>1797.9947622999407</v>
      </c>
      <c r="T60" s="46">
        <f t="shared" si="11"/>
        <v>1797.9947622999407</v>
      </c>
      <c r="U60" s="47">
        <v>46022</v>
      </c>
      <c r="V60" s="33"/>
      <c r="X60" s="17" t="s">
        <v>42</v>
      </c>
    </row>
  </sheetData>
  <autoFilter ref="A14:Y29" xr:uid="{00000000-0009-0000-0000-000000000000}"/>
  <mergeCells count="32">
    <mergeCell ref="R2:U2"/>
    <mergeCell ref="S1:U1"/>
    <mergeCell ref="B21:C21"/>
    <mergeCell ref="B10:B13"/>
    <mergeCell ref="C10:C13"/>
    <mergeCell ref="B18:C18"/>
    <mergeCell ref="B16:C16"/>
    <mergeCell ref="B15:C15"/>
    <mergeCell ref="B5:U5"/>
    <mergeCell ref="B7:U7"/>
    <mergeCell ref="B8:U8"/>
    <mergeCell ref="U10:U13"/>
    <mergeCell ref="F10:F13"/>
    <mergeCell ref="G10:G13"/>
    <mergeCell ref="D11:D13"/>
    <mergeCell ref="S10:S12"/>
    <mergeCell ref="B3:U3"/>
    <mergeCell ref="B4:U4"/>
    <mergeCell ref="O11:R11"/>
    <mergeCell ref="I10:I12"/>
    <mergeCell ref="M10:M12"/>
    <mergeCell ref="N10:R10"/>
    <mergeCell ref="T6:U6"/>
    <mergeCell ref="A10:A13"/>
    <mergeCell ref="T10:T12"/>
    <mergeCell ref="L11:L12"/>
    <mergeCell ref="N11:N12"/>
    <mergeCell ref="H10:H13"/>
    <mergeCell ref="D10:E10"/>
    <mergeCell ref="E11:E13"/>
    <mergeCell ref="K11:K12"/>
    <mergeCell ref="J10:J12"/>
  </mergeCells>
  <phoneticPr fontId="1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55"/>
  <sheetViews>
    <sheetView zoomScale="75" zoomScaleNormal="75" zoomScaleSheetLayoutView="65" workbookViewId="0">
      <pane xSplit="3" ySplit="8" topLeftCell="D21" activePane="bottomRight" state="frozen"/>
      <selection pane="topRight" activeCell="C1" sqref="C1"/>
      <selection pane="bottomLeft" activeCell="A7" sqref="A7"/>
      <selection pane="bottomRight" activeCell="Z6" sqref="Z6:AA7"/>
    </sheetView>
  </sheetViews>
  <sheetFormatPr defaultColWidth="9.140625" defaultRowHeight="15" x14ac:dyDescent="0.25"/>
  <cols>
    <col min="1" max="1" width="6" style="16" customWidth="1"/>
    <col min="2" max="2" width="5.85546875" style="10" customWidth="1"/>
    <col min="3" max="3" width="25.85546875" style="10" customWidth="1"/>
    <col min="4" max="4" width="7.28515625" style="10" customWidth="1"/>
    <col min="5" max="5" width="14.5703125" style="10" customWidth="1"/>
    <col min="6" max="6" width="19.140625" style="10" hidden="1" customWidth="1"/>
    <col min="7" max="7" width="19.140625" style="10" customWidth="1"/>
    <col min="8" max="8" width="15" style="10" customWidth="1"/>
    <col min="9" max="9" width="15.85546875" style="10" customWidth="1"/>
    <col min="10" max="11" width="14.7109375" style="10" customWidth="1"/>
    <col min="12" max="12" width="11.85546875" style="10" customWidth="1"/>
    <col min="13" max="13" width="8" style="10" customWidth="1"/>
    <col min="14" max="14" width="12.42578125" style="10" customWidth="1"/>
    <col min="15" max="15" width="10.7109375" style="10" customWidth="1"/>
    <col min="16" max="16" width="12.28515625" style="10" hidden="1" customWidth="1"/>
    <col min="17" max="17" width="17.5703125" style="10" customWidth="1"/>
    <col min="18" max="18" width="7.7109375" style="10" hidden="1" customWidth="1"/>
    <col min="19" max="19" width="12.85546875" style="10" customWidth="1"/>
    <col min="20" max="20" width="11.28515625" style="10" hidden="1" customWidth="1"/>
    <col min="21" max="21" width="15.28515625" style="10" customWidth="1"/>
    <col min="22" max="22" width="9.7109375" style="10" hidden="1" customWidth="1"/>
    <col min="23" max="23" width="11.85546875" style="10" customWidth="1"/>
    <col min="24" max="24" width="8.85546875" style="10" customWidth="1"/>
    <col min="25" max="25" width="15.85546875" style="10" customWidth="1"/>
    <col min="26" max="26" width="9.28515625" style="10" customWidth="1"/>
    <col min="27" max="27" width="15.140625" style="10" customWidth="1"/>
    <col min="28" max="29" width="9.42578125" style="8" hidden="1" customWidth="1"/>
    <col min="30" max="30" width="9.42578125" style="8" customWidth="1"/>
    <col min="31" max="31" width="14.5703125" style="10" hidden="1" customWidth="1"/>
    <col min="32" max="32" width="16.42578125" style="10" hidden="1" customWidth="1"/>
    <col min="33" max="33" width="9.140625" style="10" hidden="1" customWidth="1"/>
    <col min="34" max="42" width="0" style="10" hidden="1" customWidth="1"/>
    <col min="43" max="16384" width="9.140625" style="10"/>
  </cols>
  <sheetData>
    <row r="1" spans="1:32" x14ac:dyDescent="0.25">
      <c r="D1" s="2"/>
      <c r="Z1" s="114" t="s">
        <v>115</v>
      </c>
      <c r="AA1" s="114"/>
    </row>
    <row r="2" spans="1:32" ht="15" customHeight="1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18"/>
      <c r="W2" s="2"/>
      <c r="X2" s="19"/>
      <c r="AB2" s="10"/>
      <c r="AC2" s="10"/>
      <c r="AD2" s="10"/>
    </row>
    <row r="3" spans="1:32" ht="31.5" customHeight="1" x14ac:dyDescent="0.25">
      <c r="B3" s="123" t="s">
        <v>98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77"/>
      <c r="AC3" s="77"/>
      <c r="AD3" s="77"/>
    </row>
    <row r="4" spans="1:32" x14ac:dyDescent="0.25"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77"/>
      <c r="AC4" s="77"/>
      <c r="AD4" s="77"/>
    </row>
    <row r="5" spans="1:32" ht="28.5" customHeight="1" x14ac:dyDescent="0.25">
      <c r="A5" s="122" t="s">
        <v>7</v>
      </c>
      <c r="B5" s="121" t="s">
        <v>0</v>
      </c>
      <c r="C5" s="121" t="s">
        <v>1</v>
      </c>
      <c r="D5" s="121" t="s">
        <v>101</v>
      </c>
      <c r="E5" s="121" t="s">
        <v>30</v>
      </c>
      <c r="F5" s="121" t="s">
        <v>37</v>
      </c>
      <c r="G5" s="121" t="s">
        <v>112</v>
      </c>
      <c r="H5" s="124" t="s">
        <v>106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77"/>
      <c r="AC5" s="77"/>
      <c r="AD5" s="77"/>
    </row>
    <row r="6" spans="1:32" ht="28.5" customHeight="1" x14ac:dyDescent="0.25">
      <c r="A6" s="122"/>
      <c r="B6" s="121"/>
      <c r="C6" s="121"/>
      <c r="D6" s="121"/>
      <c r="E6" s="121"/>
      <c r="F6" s="121"/>
      <c r="G6" s="121"/>
      <c r="H6" s="124" t="s">
        <v>103</v>
      </c>
      <c r="I6" s="124"/>
      <c r="J6" s="124"/>
      <c r="K6" s="124"/>
      <c r="L6" s="124"/>
      <c r="M6" s="121" t="s">
        <v>111</v>
      </c>
      <c r="N6" s="121"/>
      <c r="O6" s="121" t="s">
        <v>102</v>
      </c>
      <c r="P6" s="121"/>
      <c r="Q6" s="121"/>
      <c r="R6" s="121" t="s">
        <v>110</v>
      </c>
      <c r="S6" s="121"/>
      <c r="T6" s="121" t="s">
        <v>2</v>
      </c>
      <c r="U6" s="121"/>
      <c r="V6" s="121" t="s">
        <v>109</v>
      </c>
      <c r="W6" s="121"/>
      <c r="X6" s="121" t="s">
        <v>108</v>
      </c>
      <c r="Y6" s="121"/>
      <c r="Z6" s="121" t="s">
        <v>107</v>
      </c>
      <c r="AA6" s="121"/>
      <c r="AB6" s="77"/>
      <c r="AC6" s="77"/>
      <c r="AD6" s="77"/>
    </row>
    <row r="7" spans="1:32" ht="103.15" customHeight="1" x14ac:dyDescent="0.25">
      <c r="A7" s="122"/>
      <c r="B7" s="121"/>
      <c r="C7" s="121"/>
      <c r="D7" s="121"/>
      <c r="E7" s="121"/>
      <c r="F7" s="121"/>
      <c r="G7" s="121"/>
      <c r="H7" s="75" t="s">
        <v>104</v>
      </c>
      <c r="I7" s="75" t="s">
        <v>105</v>
      </c>
      <c r="J7" s="75" t="s">
        <v>118</v>
      </c>
      <c r="K7" s="75" t="s">
        <v>117</v>
      </c>
      <c r="L7" s="75" t="s">
        <v>116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77"/>
      <c r="AC7" s="77"/>
      <c r="AD7" s="77"/>
    </row>
    <row r="8" spans="1:32" ht="17.45" customHeight="1" x14ac:dyDescent="0.25">
      <c r="A8" s="122"/>
      <c r="B8" s="121"/>
      <c r="C8" s="121"/>
      <c r="D8" s="121"/>
      <c r="E8" s="75" t="s">
        <v>5</v>
      </c>
      <c r="F8" s="75" t="s">
        <v>3</v>
      </c>
      <c r="G8" s="75" t="s">
        <v>3</v>
      </c>
      <c r="H8" s="75" t="s">
        <v>3</v>
      </c>
      <c r="I8" s="75" t="s">
        <v>3</v>
      </c>
      <c r="J8" s="75" t="s">
        <v>3</v>
      </c>
      <c r="K8" s="75" t="s">
        <v>3</v>
      </c>
      <c r="L8" s="75" t="s">
        <v>3</v>
      </c>
      <c r="M8" s="75" t="s">
        <v>4</v>
      </c>
      <c r="N8" s="75" t="s">
        <v>3</v>
      </c>
      <c r="O8" s="75" t="s">
        <v>5</v>
      </c>
      <c r="P8" s="75" t="s">
        <v>93</v>
      </c>
      <c r="Q8" s="75" t="s">
        <v>3</v>
      </c>
      <c r="R8" s="75" t="s">
        <v>5</v>
      </c>
      <c r="S8" s="75" t="s">
        <v>3</v>
      </c>
      <c r="T8" s="75" t="s">
        <v>5</v>
      </c>
      <c r="U8" s="75" t="s">
        <v>3</v>
      </c>
      <c r="V8" s="75" t="s">
        <v>6</v>
      </c>
      <c r="W8" s="75" t="s">
        <v>3</v>
      </c>
      <c r="X8" s="75" t="s">
        <v>4</v>
      </c>
      <c r="Y8" s="75" t="s">
        <v>3</v>
      </c>
      <c r="Z8" s="75" t="s">
        <v>4</v>
      </c>
      <c r="AA8" s="75" t="s">
        <v>3</v>
      </c>
      <c r="AB8" s="78" t="s">
        <v>95</v>
      </c>
      <c r="AC8" s="78" t="s">
        <v>96</v>
      </c>
      <c r="AD8" s="77"/>
      <c r="AE8" s="67"/>
      <c r="AF8" s="67"/>
    </row>
    <row r="9" spans="1:32" ht="15.75" customHeight="1" x14ac:dyDescent="0.25">
      <c r="A9" s="74">
        <v>1</v>
      </c>
      <c r="B9" s="9">
        <v>2</v>
      </c>
      <c r="C9" s="9">
        <v>3</v>
      </c>
      <c r="D9" s="1">
        <v>4</v>
      </c>
      <c r="E9" s="9">
        <v>5</v>
      </c>
      <c r="F9" s="1">
        <v>6</v>
      </c>
      <c r="G9" s="9">
        <v>6</v>
      </c>
      <c r="H9" s="1">
        <v>7</v>
      </c>
      <c r="I9" s="9">
        <v>8</v>
      </c>
      <c r="J9" s="1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66" t="s">
        <v>92</v>
      </c>
      <c r="Q9" s="9">
        <v>15</v>
      </c>
      <c r="R9" s="9">
        <v>16</v>
      </c>
      <c r="S9" s="9">
        <v>16</v>
      </c>
      <c r="T9" s="9">
        <v>18</v>
      </c>
      <c r="U9" s="9">
        <v>17</v>
      </c>
      <c r="V9" s="9">
        <v>20</v>
      </c>
      <c r="W9" s="9">
        <v>18</v>
      </c>
      <c r="X9" s="12">
        <v>19</v>
      </c>
      <c r="Y9" s="12">
        <v>20</v>
      </c>
      <c r="Z9" s="12">
        <v>21</v>
      </c>
      <c r="AA9" s="12">
        <v>22</v>
      </c>
      <c r="AB9" s="78"/>
      <c r="AC9" s="78"/>
      <c r="AD9" s="77"/>
      <c r="AE9" s="67"/>
      <c r="AF9" s="67"/>
    </row>
    <row r="10" spans="1:32" s="17" customFormat="1" ht="28.9" customHeight="1" x14ac:dyDescent="0.25">
      <c r="A10" s="53"/>
      <c r="B10" s="115" t="s">
        <v>39</v>
      </c>
      <c r="C10" s="116"/>
      <c r="D10" s="56" t="s">
        <v>29</v>
      </c>
      <c r="E10" s="55">
        <f>E11+E13+E16</f>
        <v>91343.42</v>
      </c>
      <c r="F10" s="55">
        <f>F11+F13+F16</f>
        <v>212514168.67200002</v>
      </c>
      <c r="G10" s="55">
        <f>G11+G13+G16</f>
        <v>176751533.36773199</v>
      </c>
      <c r="H10" s="55">
        <f t="shared" ref="H10:AA10" si="0">H11+H13+H16</f>
        <v>6823740</v>
      </c>
      <c r="I10" s="55">
        <f t="shared" si="0"/>
        <v>43268742</v>
      </c>
      <c r="J10" s="55">
        <f t="shared" si="0"/>
        <v>18472890.600000001</v>
      </c>
      <c r="K10" s="55">
        <f t="shared" si="0"/>
        <v>4926104.16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12789.74</v>
      </c>
      <c r="P10" s="55">
        <f t="shared" si="0"/>
        <v>92033</v>
      </c>
      <c r="Q10" s="55">
        <f t="shared" si="0"/>
        <v>69860539.620000005</v>
      </c>
      <c r="R10" s="55">
        <f t="shared" si="0"/>
        <v>0</v>
      </c>
      <c r="S10" s="55">
        <f t="shared" si="0"/>
        <v>0</v>
      </c>
      <c r="T10" s="55">
        <f t="shared" si="0"/>
        <v>7138</v>
      </c>
      <c r="U10" s="55">
        <f t="shared" si="0"/>
        <v>24419098</v>
      </c>
      <c r="V10" s="55">
        <f t="shared" si="0"/>
        <v>0</v>
      </c>
      <c r="W10" s="55">
        <f t="shared" si="0"/>
        <v>0</v>
      </c>
      <c r="X10" s="55">
        <f t="shared" si="0"/>
        <v>77</v>
      </c>
      <c r="Y10" s="55">
        <f t="shared" si="0"/>
        <v>5390117.1399999997</v>
      </c>
      <c r="Z10" s="55">
        <f t="shared" si="0"/>
        <v>77</v>
      </c>
      <c r="AA10" s="55">
        <f t="shared" si="0"/>
        <v>3590301.8477319991</v>
      </c>
      <c r="AB10" s="79">
        <f>AB11+AB14+AB16</f>
        <v>35830000</v>
      </c>
      <c r="AC10" s="80"/>
      <c r="AD10" s="81"/>
      <c r="AE10" s="71"/>
      <c r="AF10" s="71"/>
    </row>
    <row r="11" spans="1:32" s="17" customFormat="1" ht="34.15" customHeight="1" x14ac:dyDescent="0.25">
      <c r="A11" s="53"/>
      <c r="B11" s="118" t="s">
        <v>38</v>
      </c>
      <c r="C11" s="119"/>
      <c r="D11" s="56" t="s">
        <v>29</v>
      </c>
      <c r="E11" s="55">
        <f t="shared" ref="E11:F11" si="1">SUM(E12:E12)</f>
        <v>3499</v>
      </c>
      <c r="F11" s="55">
        <f t="shared" si="1"/>
        <v>6188582.3999999994</v>
      </c>
      <c r="G11" s="55">
        <f>SUM(G12:G12)</f>
        <v>2600996.2552</v>
      </c>
      <c r="H11" s="55">
        <f t="shared" ref="H11:AC11" si="2">SUM(H12:H12)</f>
        <v>0</v>
      </c>
      <c r="I11" s="55">
        <f t="shared" si="2"/>
        <v>0</v>
      </c>
      <c r="J11" s="55">
        <f t="shared" si="2"/>
        <v>0</v>
      </c>
      <c r="K11" s="55">
        <f t="shared" si="2"/>
        <v>0</v>
      </c>
      <c r="L11" s="55">
        <f t="shared" si="2"/>
        <v>0</v>
      </c>
      <c r="M11" s="55">
        <f t="shared" si="2"/>
        <v>0</v>
      </c>
      <c r="N11" s="55">
        <f t="shared" si="2"/>
        <v>0</v>
      </c>
      <c r="O11" s="55">
        <f t="shared" si="2"/>
        <v>494</v>
      </c>
      <c r="P11" s="55">
        <f t="shared" si="2"/>
        <v>4822</v>
      </c>
      <c r="Q11" s="55">
        <f t="shared" si="2"/>
        <v>2382068</v>
      </c>
      <c r="R11" s="55">
        <f t="shared" si="2"/>
        <v>0</v>
      </c>
      <c r="S11" s="55">
        <f t="shared" si="2"/>
        <v>0</v>
      </c>
      <c r="T11" s="55">
        <f t="shared" si="2"/>
        <v>0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1</v>
      </c>
      <c r="Y11" s="55">
        <f t="shared" si="2"/>
        <v>167952</v>
      </c>
      <c r="Z11" s="55">
        <f t="shared" si="2"/>
        <v>1</v>
      </c>
      <c r="AA11" s="55">
        <f t="shared" si="2"/>
        <v>50976.255200000007</v>
      </c>
      <c r="AB11" s="55">
        <f t="shared" si="2"/>
        <v>0</v>
      </c>
      <c r="AC11" s="55">
        <f t="shared" si="2"/>
        <v>0</v>
      </c>
      <c r="AD11" s="83"/>
      <c r="AE11" s="68"/>
      <c r="AF11" s="69"/>
    </row>
    <row r="12" spans="1:32" s="17" customFormat="1" ht="30" customHeight="1" x14ac:dyDescent="0.25">
      <c r="A12" s="53">
        <v>1</v>
      </c>
      <c r="B12" s="74">
        <v>1</v>
      </c>
      <c r="C12" s="42" t="s">
        <v>55</v>
      </c>
      <c r="D12" s="74">
        <v>1989</v>
      </c>
      <c r="E12" s="20">
        <f>'Прил.1.1 -перечень домов'!I17</f>
        <v>3499</v>
      </c>
      <c r="F12" s="20">
        <f>'Прил.1.1 -перечень домов'!J17*(3.9*31+4.13*26+6.71*16+7.69*12+8.45*12+9.29*252)</f>
        <v>6188582.3999999994</v>
      </c>
      <c r="G12" s="21">
        <f>H12+I12+J12+K12+N12+Q12+S12+U12+W12+Y12+AA12</f>
        <v>2600996.2552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32">
        <v>0</v>
      </c>
      <c r="N12" s="21">
        <v>0</v>
      </c>
      <c r="O12" s="21">
        <v>494</v>
      </c>
      <c r="P12" s="32">
        <v>4822</v>
      </c>
      <c r="Q12" s="22">
        <f>P12*O12</f>
        <v>2382068</v>
      </c>
      <c r="R12" s="32">
        <v>0</v>
      </c>
      <c r="S12" s="21">
        <v>0</v>
      </c>
      <c r="T12" s="32">
        <v>0</v>
      </c>
      <c r="U12" s="21">
        <v>0</v>
      </c>
      <c r="V12" s="32">
        <v>0</v>
      </c>
      <c r="W12" s="21">
        <v>0</v>
      </c>
      <c r="X12" s="32">
        <v>1</v>
      </c>
      <c r="Y12" s="21">
        <f>48*E12</f>
        <v>167952</v>
      </c>
      <c r="Z12" s="32">
        <v>1</v>
      </c>
      <c r="AA12" s="21">
        <f>(H12+I12+J12+K12+N12+Q12+S12+U12+W12)*2.14/100</f>
        <v>50976.255200000007</v>
      </c>
      <c r="AB12" s="84"/>
      <c r="AC12" s="83"/>
      <c r="AD12" s="83"/>
      <c r="AE12" s="68"/>
      <c r="AF12" s="69"/>
    </row>
    <row r="13" spans="1:32" s="17" customFormat="1" ht="33.75" customHeight="1" x14ac:dyDescent="0.25">
      <c r="A13" s="53"/>
      <c r="B13" s="115" t="s">
        <v>40</v>
      </c>
      <c r="C13" s="116"/>
      <c r="D13" s="56" t="s">
        <v>29</v>
      </c>
      <c r="E13" s="55">
        <f t="shared" ref="E13:F13" si="3">SUM(E14:E15)</f>
        <v>8664.2999999999993</v>
      </c>
      <c r="F13" s="55">
        <f t="shared" si="3"/>
        <v>19051045.728</v>
      </c>
      <c r="G13" s="55">
        <f>SUM(G14:G15)</f>
        <v>6552969.6482480001</v>
      </c>
      <c r="H13" s="55">
        <f t="shared" ref="H13:AC13" si="4">SUM(H14:H15)</f>
        <v>0</v>
      </c>
      <c r="I13" s="55">
        <f t="shared" si="4"/>
        <v>0</v>
      </c>
      <c r="J13" s="55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5">
        <f t="shared" si="4"/>
        <v>1246.06</v>
      </c>
      <c r="P13" s="55">
        <f t="shared" si="4"/>
        <v>9644</v>
      </c>
      <c r="Q13" s="55">
        <f t="shared" si="4"/>
        <v>6008501.3200000003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2</v>
      </c>
      <c r="Y13" s="55">
        <f t="shared" si="4"/>
        <v>415886.4</v>
      </c>
      <c r="Z13" s="55">
        <f t="shared" si="4"/>
        <v>2</v>
      </c>
      <c r="AA13" s="55">
        <f t="shared" si="4"/>
        <v>128581.928248</v>
      </c>
      <c r="AB13" s="55">
        <f t="shared" si="4"/>
        <v>0</v>
      </c>
      <c r="AC13" s="55">
        <f t="shared" si="4"/>
        <v>0</v>
      </c>
      <c r="AD13" s="83"/>
      <c r="AE13" s="70"/>
      <c r="AF13" s="69"/>
    </row>
    <row r="14" spans="1:32" s="17" customFormat="1" ht="30" customHeight="1" x14ac:dyDescent="0.25">
      <c r="A14" s="30">
        <v>2</v>
      </c>
      <c r="B14" s="24">
        <v>1</v>
      </c>
      <c r="C14" s="42" t="s">
        <v>47</v>
      </c>
      <c r="D14" s="48">
        <v>1990</v>
      </c>
      <c r="E14" s="41">
        <f>'Прил.1.1 -перечень домов'!I19</f>
        <v>4281.3</v>
      </c>
      <c r="F14" s="20">
        <f>'Прил.1.1 -перечень домов'!J19*(3.9*31+4.13*26+6.71*16+7.69*12+8.45*12+9.29*252)</f>
        <v>9669430.3679999989</v>
      </c>
      <c r="G14" s="20">
        <f>H14+I14+J14+K14+N14+Q14+S14+U14+W14+Y14+AA14</f>
        <v>2638546.6551999999</v>
      </c>
      <c r="H14" s="20">
        <v>0</v>
      </c>
      <c r="I14" s="31">
        <v>0</v>
      </c>
      <c r="J14" s="20">
        <v>0</v>
      </c>
      <c r="K14" s="20">
        <v>0</v>
      </c>
      <c r="L14" s="20">
        <v>0</v>
      </c>
      <c r="M14" s="28">
        <v>0</v>
      </c>
      <c r="N14" s="20">
        <v>0</v>
      </c>
      <c r="O14" s="20">
        <v>494</v>
      </c>
      <c r="P14" s="28">
        <v>4822</v>
      </c>
      <c r="Q14" s="22">
        <f>O14*P14</f>
        <v>2382068</v>
      </c>
      <c r="R14" s="28">
        <v>0</v>
      </c>
      <c r="S14" s="20">
        <v>0</v>
      </c>
      <c r="T14" s="28">
        <v>0</v>
      </c>
      <c r="U14" s="20">
        <v>0</v>
      </c>
      <c r="V14" s="28">
        <v>0</v>
      </c>
      <c r="W14" s="20">
        <v>0</v>
      </c>
      <c r="X14" s="28">
        <v>1</v>
      </c>
      <c r="Y14" s="31">
        <f>48*E14</f>
        <v>205502.40000000002</v>
      </c>
      <c r="Z14" s="28">
        <v>1</v>
      </c>
      <c r="AA14" s="20">
        <f>(H14+I14+J14+K14+N14+Q14+S14+U14+W14)*0.0214</f>
        <v>50976.2552</v>
      </c>
      <c r="AB14" s="82"/>
      <c r="AC14" s="82"/>
      <c r="AD14" s="83"/>
      <c r="AE14" s="69"/>
      <c r="AF14" s="69"/>
    </row>
    <row r="15" spans="1:32" s="17" customFormat="1" ht="30" customHeight="1" x14ac:dyDescent="0.25">
      <c r="A15" s="30">
        <v>3</v>
      </c>
      <c r="B15" s="24">
        <f>B14+1</f>
        <v>2</v>
      </c>
      <c r="C15" s="42" t="s">
        <v>48</v>
      </c>
      <c r="D15" s="48">
        <v>1990</v>
      </c>
      <c r="E15" s="41">
        <f>'Прил.1.1 -перечень домов'!I20</f>
        <v>4383</v>
      </c>
      <c r="F15" s="20">
        <f>'Прил.1.1 -перечень домов'!J20*(3.9*31+4.13*26+6.71*16+7.69*12+8.45*12+9.29*252)</f>
        <v>9381615.3599999994</v>
      </c>
      <c r="G15" s="20">
        <f t="shared" ref="G15" si="5">H15+I15+J15+K15+N15+Q15+S15+U15+W15+Y15+AA15</f>
        <v>3914422.9930479997</v>
      </c>
      <c r="H15" s="20">
        <v>0</v>
      </c>
      <c r="I15" s="31">
        <v>0</v>
      </c>
      <c r="J15" s="20">
        <v>0</v>
      </c>
      <c r="K15" s="20">
        <v>0</v>
      </c>
      <c r="L15" s="20">
        <v>0</v>
      </c>
      <c r="M15" s="28">
        <v>0</v>
      </c>
      <c r="N15" s="20">
        <v>0</v>
      </c>
      <c r="O15" s="20">
        <v>752.06</v>
      </c>
      <c r="P15" s="28">
        <v>4822</v>
      </c>
      <c r="Q15" s="22">
        <f>O15*P15</f>
        <v>3626433.32</v>
      </c>
      <c r="R15" s="28">
        <v>0</v>
      </c>
      <c r="S15" s="20">
        <v>0</v>
      </c>
      <c r="T15" s="28">
        <v>0</v>
      </c>
      <c r="U15" s="20">
        <v>0</v>
      </c>
      <c r="V15" s="28">
        <v>0</v>
      </c>
      <c r="W15" s="20">
        <v>0</v>
      </c>
      <c r="X15" s="28">
        <v>1</v>
      </c>
      <c r="Y15" s="31">
        <f>48*E15</f>
        <v>210384</v>
      </c>
      <c r="Z15" s="28">
        <v>1</v>
      </c>
      <c r="AA15" s="20">
        <f t="shared" ref="AA15" si="6">(H15+I15+J15+K15+N15+Q15+S15+U15+W15)*0.0214</f>
        <v>77605.673047999997</v>
      </c>
      <c r="AB15" s="86"/>
      <c r="AC15" s="82"/>
      <c r="AD15" s="83"/>
      <c r="AE15" s="69"/>
      <c r="AF15" s="69"/>
    </row>
    <row r="16" spans="1:32" s="17" customFormat="1" ht="32.25" customHeight="1" x14ac:dyDescent="0.25">
      <c r="A16" s="53"/>
      <c r="B16" s="115" t="s">
        <v>41</v>
      </c>
      <c r="C16" s="116"/>
      <c r="D16" s="61" t="s">
        <v>29</v>
      </c>
      <c r="E16" s="55">
        <f>SUM(E17:E55)</f>
        <v>79180.12</v>
      </c>
      <c r="F16" s="55">
        <f t="shared" ref="F16:Z16" si="7">SUM(F17:F55)</f>
        <v>187274540.54400003</v>
      </c>
      <c r="G16" s="55">
        <f t="shared" si="7"/>
        <v>167597567.464284</v>
      </c>
      <c r="H16" s="55">
        <f t="shared" si="7"/>
        <v>6823740</v>
      </c>
      <c r="I16" s="55">
        <f t="shared" si="7"/>
        <v>43268742</v>
      </c>
      <c r="J16" s="55">
        <f t="shared" si="7"/>
        <v>18472890.600000001</v>
      </c>
      <c r="K16" s="55">
        <f t="shared" si="7"/>
        <v>4926104.16</v>
      </c>
      <c r="L16" s="55">
        <f t="shared" si="7"/>
        <v>0</v>
      </c>
      <c r="M16" s="55">
        <f t="shared" si="7"/>
        <v>0</v>
      </c>
      <c r="N16" s="55">
        <f t="shared" si="7"/>
        <v>0</v>
      </c>
      <c r="O16" s="55">
        <f t="shared" si="7"/>
        <v>11049.68</v>
      </c>
      <c r="P16" s="55">
        <f t="shared" si="7"/>
        <v>77567</v>
      </c>
      <c r="Q16" s="55">
        <f t="shared" si="7"/>
        <v>61469970.299999997</v>
      </c>
      <c r="R16" s="55">
        <f t="shared" si="7"/>
        <v>0</v>
      </c>
      <c r="S16" s="55">
        <f t="shared" si="7"/>
        <v>0</v>
      </c>
      <c r="T16" s="55">
        <f t="shared" si="7"/>
        <v>7138</v>
      </c>
      <c r="U16" s="55">
        <f t="shared" si="7"/>
        <v>24419098</v>
      </c>
      <c r="V16" s="55">
        <f t="shared" si="7"/>
        <v>0</v>
      </c>
      <c r="W16" s="55">
        <f t="shared" si="7"/>
        <v>0</v>
      </c>
      <c r="X16" s="55">
        <f>SUM(X17:X55)</f>
        <v>74</v>
      </c>
      <c r="Y16" s="55">
        <f t="shared" si="7"/>
        <v>4806278.7399999993</v>
      </c>
      <c r="Z16" s="55">
        <f t="shared" si="7"/>
        <v>74</v>
      </c>
      <c r="AA16" s="55">
        <f t="shared" ref="AA16" si="8">SUM(AA17:AA55)</f>
        <v>3410743.6642839992</v>
      </c>
      <c r="AB16" s="82">
        <v>35830000</v>
      </c>
      <c r="AC16" s="82">
        <f>AB16+AC13-G16</f>
        <v>-131767567.464284</v>
      </c>
      <c r="AD16" s="83"/>
      <c r="AE16" s="70"/>
      <c r="AF16" s="69"/>
    </row>
    <row r="17" spans="1:30" s="17" customFormat="1" ht="30" customHeight="1" x14ac:dyDescent="0.25">
      <c r="A17" s="53">
        <v>4</v>
      </c>
      <c r="B17" s="54">
        <v>1</v>
      </c>
      <c r="C17" s="51" t="s">
        <v>49</v>
      </c>
      <c r="D17" s="26">
        <v>1960</v>
      </c>
      <c r="E17" s="20">
        <f>'Прил.1.1 -перечень домов'!I22</f>
        <v>665.1</v>
      </c>
      <c r="F17" s="20">
        <f>'Прил.1.1 -перечень домов'!J22*(3.9*31+4.13*26+6.71*16+7.69*12+8.45*12+9.29*252)</f>
        <v>1781944.3199999996</v>
      </c>
      <c r="G17" s="20">
        <f>H17+I17+J17+K17+N17+Q17+S17+U17+W17+Y17+AA17</f>
        <v>2645073.5686199996</v>
      </c>
      <c r="H17" s="23">
        <v>0</v>
      </c>
      <c r="I17" s="23">
        <f>2700*E17</f>
        <v>1795770</v>
      </c>
      <c r="J17" s="23">
        <f>855*E17</f>
        <v>568660.5</v>
      </c>
      <c r="K17" s="23">
        <f>228*E17</f>
        <v>151642.80000000002</v>
      </c>
      <c r="L17" s="23">
        <v>0</v>
      </c>
      <c r="M17" s="24">
        <v>0</v>
      </c>
      <c r="N17" s="25">
        <v>0</v>
      </c>
      <c r="O17" s="25">
        <v>0</v>
      </c>
      <c r="P17" s="26">
        <v>0</v>
      </c>
      <c r="Q17" s="25">
        <f>O17*P17</f>
        <v>0</v>
      </c>
      <c r="R17" s="24">
        <v>0</v>
      </c>
      <c r="S17" s="25">
        <v>0</v>
      </c>
      <c r="T17" s="27">
        <v>0</v>
      </c>
      <c r="U17" s="25">
        <v>0</v>
      </c>
      <c r="V17" s="26">
        <v>0</v>
      </c>
      <c r="W17" s="25">
        <v>0</v>
      </c>
      <c r="X17" s="44">
        <v>3</v>
      </c>
      <c r="Y17" s="23">
        <f>(57+28+28)*E17</f>
        <v>75156.3</v>
      </c>
      <c r="Z17" s="24">
        <v>3</v>
      </c>
      <c r="AA17" s="21">
        <f>(H17+I17+J17+K17+N17+Q17+S17+U17+W17)*2.14/100</f>
        <v>53843.96862</v>
      </c>
      <c r="AB17" s="82"/>
      <c r="AC17" s="83"/>
      <c r="AD17" s="83"/>
    </row>
    <row r="18" spans="1:30" s="17" customFormat="1" ht="30" customHeight="1" x14ac:dyDescent="0.25">
      <c r="A18" s="53">
        <f>A17+1</f>
        <v>5</v>
      </c>
      <c r="B18" s="76">
        <f>B17+1</f>
        <v>2</v>
      </c>
      <c r="C18" s="51" t="s">
        <v>50</v>
      </c>
      <c r="D18" s="26">
        <v>1960</v>
      </c>
      <c r="E18" s="20">
        <f>'Прил.1.1 -перечень домов'!I23</f>
        <v>759.8</v>
      </c>
      <c r="F18" s="20">
        <f>'Прил.1.1 -перечень домов'!J23*(3.9*31+4.13*26+6.71*16+7.69*12+8.45*12+9.29*252)</f>
        <v>1711332.48</v>
      </c>
      <c r="G18" s="20">
        <f t="shared" ref="G18:G24" si="9">H18+I18+J18+K18+N18+Q18+S18+U18+W18+Y18+AA18</f>
        <v>3021691.32076</v>
      </c>
      <c r="H18" s="23">
        <v>0</v>
      </c>
      <c r="I18" s="23">
        <f t="shared" ref="I18:I23" si="10">2700*E18</f>
        <v>2051459.9999999998</v>
      </c>
      <c r="J18" s="23">
        <f t="shared" ref="J18:J23" si="11">855*E18</f>
        <v>649629</v>
      </c>
      <c r="K18" s="23">
        <f t="shared" ref="K18:K23" si="12">228*E18</f>
        <v>173234.4</v>
      </c>
      <c r="L18" s="23">
        <v>0</v>
      </c>
      <c r="M18" s="24">
        <v>0</v>
      </c>
      <c r="N18" s="25">
        <v>0</v>
      </c>
      <c r="O18" s="25">
        <v>0</v>
      </c>
      <c r="P18" s="26">
        <v>0</v>
      </c>
      <c r="Q18" s="25">
        <f t="shared" ref="Q18:Q55" si="13">O18*P18</f>
        <v>0</v>
      </c>
      <c r="R18" s="24">
        <v>0</v>
      </c>
      <c r="S18" s="25">
        <v>0</v>
      </c>
      <c r="T18" s="27">
        <v>0</v>
      </c>
      <c r="U18" s="25">
        <v>0</v>
      </c>
      <c r="V18" s="26">
        <v>0</v>
      </c>
      <c r="W18" s="25">
        <v>0</v>
      </c>
      <c r="X18" s="44">
        <v>3</v>
      </c>
      <c r="Y18" s="23">
        <f>(57+28+28)*E18</f>
        <v>85857.4</v>
      </c>
      <c r="Z18" s="24">
        <v>3</v>
      </c>
      <c r="AA18" s="21">
        <f t="shared" ref="AA18:AA24" si="14">(H18+I18+J18+K18+N18+Q18+S18+U18+W18)*2.14/100</f>
        <v>61510.520760000007</v>
      </c>
      <c r="AB18" s="82"/>
      <c r="AC18" s="83"/>
      <c r="AD18" s="83"/>
    </row>
    <row r="19" spans="1:30" s="17" customFormat="1" ht="30" customHeight="1" x14ac:dyDescent="0.25">
      <c r="A19" s="87">
        <f t="shared" ref="A19:A55" si="15">A18+1</f>
        <v>6</v>
      </c>
      <c r="B19" s="76">
        <f t="shared" ref="B19:B55" si="16">B18+1</f>
        <v>3</v>
      </c>
      <c r="C19" s="51" t="s">
        <v>57</v>
      </c>
      <c r="D19" s="26">
        <v>1976</v>
      </c>
      <c r="E19" s="20">
        <f>'Прил.1.1 -перечень домов'!I24</f>
        <v>5580.26</v>
      </c>
      <c r="F19" s="20">
        <f>'Прил.1.1 -перечень домов'!J24*(3.9*31+4.13*26+6.71*16+7.69*12+8.45*12+9.29*252)</f>
        <v>12293521.343999997</v>
      </c>
      <c r="G19" s="20">
        <f>H19+I19+J19+K19+N19+Q19+S19+U19+W19+Y19+AA19</f>
        <v>6485245.3618119992</v>
      </c>
      <c r="H19" s="23">
        <v>0</v>
      </c>
      <c r="I19" s="23">
        <v>0</v>
      </c>
      <c r="J19" s="23">
        <f>855*E19</f>
        <v>4771122.3</v>
      </c>
      <c r="K19" s="23">
        <f>228*E19</f>
        <v>1272299.28</v>
      </c>
      <c r="L19" s="23">
        <v>0</v>
      </c>
      <c r="M19" s="24">
        <v>0</v>
      </c>
      <c r="N19" s="25">
        <v>0</v>
      </c>
      <c r="O19" s="25">
        <v>0</v>
      </c>
      <c r="P19" s="43">
        <v>6596</v>
      </c>
      <c r="Q19" s="25">
        <f>O19*P19</f>
        <v>0</v>
      </c>
      <c r="R19" s="24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44">
        <v>2</v>
      </c>
      <c r="Y19" s="31">
        <f>(28+28)*E19</f>
        <v>312494.56</v>
      </c>
      <c r="Z19" s="24">
        <v>2</v>
      </c>
      <c r="AA19" s="21">
        <f>(H19+I19+J19+K19+N19+Q19+S19+U19+W19)*2.14/100</f>
        <v>129329.22181200002</v>
      </c>
      <c r="AB19" s="86"/>
      <c r="AC19" s="82"/>
      <c r="AD19" s="83"/>
    </row>
    <row r="20" spans="1:30" s="17" customFormat="1" ht="30" customHeight="1" x14ac:dyDescent="0.25">
      <c r="A20" s="87">
        <f t="shared" si="15"/>
        <v>7</v>
      </c>
      <c r="B20" s="76">
        <f t="shared" si="16"/>
        <v>4</v>
      </c>
      <c r="C20" s="51" t="s">
        <v>60</v>
      </c>
      <c r="D20" s="26">
        <v>1978</v>
      </c>
      <c r="E20" s="20">
        <f>'Прил.1.1 -перечень домов'!I25</f>
        <v>3433</v>
      </c>
      <c r="F20" s="20">
        <f>'Прил.1.1 -перечень домов'!J25*(3.9*31+4.13*26+6.71*16+7.69*12+8.45*12+9.29*252)</f>
        <v>7585692.1919999989</v>
      </c>
      <c r="G20" s="20">
        <f>H20+I20+J20+K20+N20+Q20+S20+U20+W20+Y20+AA20</f>
        <v>3735842.8414479997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5">
        <v>0</v>
      </c>
      <c r="O20" s="25">
        <v>725.06</v>
      </c>
      <c r="P20" s="43">
        <v>4822</v>
      </c>
      <c r="Q20" s="25">
        <f>O20*P20</f>
        <v>3496239.32</v>
      </c>
      <c r="R20" s="24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44">
        <v>1</v>
      </c>
      <c r="Y20" s="31">
        <f>48*E20</f>
        <v>164784</v>
      </c>
      <c r="Z20" s="24">
        <v>1</v>
      </c>
      <c r="AA20" s="21">
        <f>(H20+I20+J20+K20+N20+Q20+S20+U20+W20)*2.14/100</f>
        <v>74819.521448</v>
      </c>
      <c r="AB20" s="82"/>
      <c r="AC20" s="82"/>
      <c r="AD20" s="83"/>
    </row>
    <row r="21" spans="1:30" s="17" customFormat="1" ht="30" customHeight="1" x14ac:dyDescent="0.25">
      <c r="A21" s="87">
        <f t="shared" si="15"/>
        <v>8</v>
      </c>
      <c r="B21" s="76">
        <f t="shared" si="16"/>
        <v>5</v>
      </c>
      <c r="C21" s="51" t="s">
        <v>64</v>
      </c>
      <c r="D21" s="26">
        <v>1987</v>
      </c>
      <c r="E21" s="20">
        <f>'Прил.1.1 -перечень домов'!I26</f>
        <v>7200</v>
      </c>
      <c r="F21" s="20">
        <f>'Прил.1.1 -перечень домов'!J26*(3.9*31+4.13*26+6.71*16+7.69*12+8.45*12+9.29*252)</f>
        <v>16499891.615999999</v>
      </c>
      <c r="G21" s="20">
        <f>H21+I21+J21+K21+N21+Q21+S21+U21+W21+Y21+AA21</f>
        <v>10571522.434495999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4">
        <v>0</v>
      </c>
      <c r="N21" s="25">
        <v>0</v>
      </c>
      <c r="O21" s="25">
        <v>1517.84</v>
      </c>
      <c r="P21" s="43">
        <v>6596</v>
      </c>
      <c r="Q21" s="25">
        <f>O21*P21</f>
        <v>10011672.639999999</v>
      </c>
      <c r="R21" s="24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44">
        <v>1</v>
      </c>
      <c r="Y21" s="31">
        <f>48*E21</f>
        <v>345600</v>
      </c>
      <c r="Z21" s="24">
        <v>1</v>
      </c>
      <c r="AA21" s="21">
        <f>(H21+I21+J21+K21+N21+Q21+S21+U21+W21)*2.14/100</f>
        <v>214249.79449599999</v>
      </c>
      <c r="AB21" s="85"/>
      <c r="AC21" s="83"/>
      <c r="AD21" s="83"/>
    </row>
    <row r="22" spans="1:30" s="17" customFormat="1" ht="30" customHeight="1" x14ac:dyDescent="0.25">
      <c r="A22" s="87">
        <f t="shared" si="15"/>
        <v>9</v>
      </c>
      <c r="B22" s="76">
        <f t="shared" si="16"/>
        <v>6</v>
      </c>
      <c r="C22" s="51" t="s">
        <v>65</v>
      </c>
      <c r="D22" s="26">
        <v>1989</v>
      </c>
      <c r="E22" s="20">
        <f>'Прил.1.1 -перечень домов'!I27</f>
        <v>4003.8</v>
      </c>
      <c r="F22" s="20">
        <f>'Прил.1.1 -перечень домов'!J27*(3.9*31+4.13*26+6.71*16+7.69*12+8.45*12+9.29*252)</f>
        <v>10023953.471999999</v>
      </c>
      <c r="G22" s="20">
        <f>H22+I22+J22+K22+N22+Q22+S22+U22+W22+Y22+AA22</f>
        <v>3009391.5375999999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4">
        <v>0</v>
      </c>
      <c r="N22" s="25">
        <v>0</v>
      </c>
      <c r="O22" s="25">
        <v>572</v>
      </c>
      <c r="P22" s="43">
        <v>4822</v>
      </c>
      <c r="Q22" s="25">
        <f>O22*P22</f>
        <v>2758184</v>
      </c>
      <c r="R22" s="24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44">
        <v>1</v>
      </c>
      <c r="Y22" s="31">
        <f>48*E22</f>
        <v>192182.40000000002</v>
      </c>
      <c r="Z22" s="24">
        <v>1</v>
      </c>
      <c r="AA22" s="21">
        <f>(H22+I22+J22+K22+N22+Q22+S22+U22+W22)*2.14/100</f>
        <v>59025.137600000009</v>
      </c>
      <c r="AB22" s="85"/>
      <c r="AC22" s="83"/>
      <c r="AD22" s="83"/>
    </row>
    <row r="23" spans="1:30" s="17" customFormat="1" ht="30" customHeight="1" x14ac:dyDescent="0.25">
      <c r="A23" s="87">
        <f t="shared" si="15"/>
        <v>10</v>
      </c>
      <c r="B23" s="76">
        <f t="shared" si="16"/>
        <v>7</v>
      </c>
      <c r="C23" s="51" t="s">
        <v>51</v>
      </c>
      <c r="D23" s="26">
        <v>1983</v>
      </c>
      <c r="E23" s="20">
        <f>'Прил.1.1 -перечень домов'!I28</f>
        <v>2909.1</v>
      </c>
      <c r="F23" s="20">
        <f>'Прил.1.1 -перечень домов'!J28*(3.9*31+4.13*26+6.71*16+7.69*12+8.45*12+9.29*252)</f>
        <v>7262198.1119999997</v>
      </c>
      <c r="G23" s="20">
        <f t="shared" si="9"/>
        <v>11569363.281420002</v>
      </c>
      <c r="H23" s="23">
        <v>0</v>
      </c>
      <c r="I23" s="23">
        <f t="shared" si="10"/>
        <v>7854570</v>
      </c>
      <c r="J23" s="23">
        <f t="shared" si="11"/>
        <v>2487280.5</v>
      </c>
      <c r="K23" s="23">
        <f t="shared" si="12"/>
        <v>663274.79999999993</v>
      </c>
      <c r="L23" s="23">
        <v>0</v>
      </c>
      <c r="M23" s="24">
        <v>0</v>
      </c>
      <c r="N23" s="25">
        <v>0</v>
      </c>
      <c r="O23" s="25">
        <v>0</v>
      </c>
      <c r="P23" s="26">
        <v>0</v>
      </c>
      <c r="Q23" s="25">
        <f t="shared" si="13"/>
        <v>0</v>
      </c>
      <c r="R23" s="24">
        <v>0</v>
      </c>
      <c r="S23" s="25">
        <v>0</v>
      </c>
      <c r="T23" s="27">
        <v>0</v>
      </c>
      <c r="U23" s="25">
        <v>0</v>
      </c>
      <c r="V23" s="26">
        <v>0</v>
      </c>
      <c r="W23" s="25">
        <v>0</v>
      </c>
      <c r="X23" s="44">
        <v>3</v>
      </c>
      <c r="Y23" s="23">
        <f>(57+28+28)*E23</f>
        <v>328728.3</v>
      </c>
      <c r="Z23" s="24">
        <v>3</v>
      </c>
      <c r="AA23" s="21">
        <f t="shared" si="14"/>
        <v>235509.68142000004</v>
      </c>
      <c r="AC23" s="83"/>
      <c r="AD23" s="83"/>
    </row>
    <row r="24" spans="1:30" s="17" customFormat="1" ht="30" customHeight="1" x14ac:dyDescent="0.25">
      <c r="A24" s="87">
        <f t="shared" si="15"/>
        <v>11</v>
      </c>
      <c r="B24" s="76">
        <f t="shared" si="16"/>
        <v>8</v>
      </c>
      <c r="C24" s="51" t="s">
        <v>52</v>
      </c>
      <c r="D24" s="26">
        <v>1980</v>
      </c>
      <c r="E24" s="20">
        <f>'Прил.1.1 -перечень домов'!I29</f>
        <v>3710</v>
      </c>
      <c r="F24" s="20">
        <f>'Прил.1.1 -перечень домов'!J29*(3.9*31+4.13*26+6.71*16+7.69*12+8.45*12+9.29*252)</f>
        <v>7871497.9199999999</v>
      </c>
      <c r="G24" s="20">
        <f t="shared" si="9"/>
        <v>5062921.1692639999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4">
        <v>0</v>
      </c>
      <c r="N24" s="25">
        <v>0</v>
      </c>
      <c r="O24" s="25">
        <v>725.06</v>
      </c>
      <c r="P24" s="43">
        <v>6596</v>
      </c>
      <c r="Q24" s="25">
        <f t="shared" si="13"/>
        <v>4782495.76</v>
      </c>
      <c r="R24" s="24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44">
        <v>1</v>
      </c>
      <c r="Y24" s="31">
        <f>48*E24</f>
        <v>178080</v>
      </c>
      <c r="Z24" s="24">
        <v>1</v>
      </c>
      <c r="AA24" s="21">
        <f t="shared" si="14"/>
        <v>102345.409264</v>
      </c>
      <c r="AB24" s="84"/>
      <c r="AC24" s="85"/>
      <c r="AD24" s="85"/>
    </row>
    <row r="25" spans="1:30" s="17" customFormat="1" ht="30" customHeight="1" x14ac:dyDescent="0.25">
      <c r="A25" s="87">
        <f t="shared" si="15"/>
        <v>12</v>
      </c>
      <c r="B25" s="76">
        <f t="shared" si="16"/>
        <v>9</v>
      </c>
      <c r="C25" s="51" t="s">
        <v>56</v>
      </c>
      <c r="D25" s="26">
        <v>1987</v>
      </c>
      <c r="E25" s="20">
        <f>'Прил.1.1 -перечень домов'!I30</f>
        <v>5840</v>
      </c>
      <c r="F25" s="20">
        <f>'Прил.1.1 -перечень домов'!J30*(3.9*31+4.13*26+6.71*16+7.69*12+8.45*12+9.29*252)</f>
        <v>12743169.503999999</v>
      </c>
      <c r="G25" s="20">
        <f t="shared" ref="G25:G55" si="17">H25+I25+J25+K25+N25+Q25+S25+U25+W25+Y25+AA25</f>
        <v>4658737.3600000003</v>
      </c>
      <c r="H25" s="23">
        <f>E25*735</f>
        <v>4292400</v>
      </c>
      <c r="I25" s="23">
        <v>0</v>
      </c>
      <c r="J25" s="23">
        <v>0</v>
      </c>
      <c r="K25" s="23">
        <v>0</v>
      </c>
      <c r="L25" s="23">
        <v>0</v>
      </c>
      <c r="M25" s="24">
        <v>0</v>
      </c>
      <c r="N25" s="25">
        <v>0</v>
      </c>
      <c r="O25" s="25">
        <v>0</v>
      </c>
      <c r="P25" s="27">
        <v>0</v>
      </c>
      <c r="Q25" s="25">
        <f t="shared" si="13"/>
        <v>0</v>
      </c>
      <c r="R25" s="24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44">
        <v>1</v>
      </c>
      <c r="Y25" s="23">
        <f>47*E25</f>
        <v>274480</v>
      </c>
      <c r="Z25" s="24">
        <v>1</v>
      </c>
      <c r="AA25" s="21">
        <f t="shared" ref="AA25:AA39" si="18">(H25+I25+J25+K25+N25+Q25+S25+U25+W25)*2.14/100</f>
        <v>91857.36</v>
      </c>
      <c r="AB25" s="85"/>
      <c r="AC25" s="85"/>
      <c r="AD25" s="81"/>
    </row>
    <row r="26" spans="1:30" s="17" customFormat="1" ht="30" customHeight="1" x14ac:dyDescent="0.25">
      <c r="A26" s="87">
        <f t="shared" si="15"/>
        <v>13</v>
      </c>
      <c r="B26" s="76">
        <f t="shared" si="16"/>
        <v>10</v>
      </c>
      <c r="C26" s="51" t="s">
        <v>58</v>
      </c>
      <c r="D26" s="26">
        <v>1990</v>
      </c>
      <c r="E26" s="20">
        <f>'Прил.1.1 -перечень домов'!I31</f>
        <v>3559.97</v>
      </c>
      <c r="F26" s="20">
        <f>'Прил.1.1 -перечень домов'!J31*(3.9*31+4.13*26+6.71*16+7.69*12+8.45*12+9.29*252)</f>
        <v>9103100.4479999989</v>
      </c>
      <c r="G26" s="20">
        <f t="shared" si="17"/>
        <v>14157844.763313999</v>
      </c>
      <c r="H26" s="23">
        <v>0</v>
      </c>
      <c r="I26" s="23">
        <f>2700*E26</f>
        <v>9611919</v>
      </c>
      <c r="J26" s="23">
        <f>855*E26</f>
        <v>3043774.3499999996</v>
      </c>
      <c r="K26" s="23">
        <f t="shared" ref="K26" si="19">228*E26</f>
        <v>811673.15999999992</v>
      </c>
      <c r="L26" s="23">
        <v>0</v>
      </c>
      <c r="M26" s="24">
        <v>0</v>
      </c>
      <c r="N26" s="25">
        <v>0</v>
      </c>
      <c r="O26" s="25">
        <v>0</v>
      </c>
      <c r="P26" s="27"/>
      <c r="Q26" s="25">
        <f t="shared" si="13"/>
        <v>0</v>
      </c>
      <c r="R26" s="24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44">
        <v>3</v>
      </c>
      <c r="Y26" s="23">
        <f>(57+28+28)*E26</f>
        <v>402276.61</v>
      </c>
      <c r="Z26" s="24">
        <v>3</v>
      </c>
      <c r="AA26" s="21">
        <f t="shared" si="18"/>
        <v>288201.64331399999</v>
      </c>
      <c r="AB26" s="81"/>
      <c r="AC26" s="81"/>
      <c r="AD26" s="81"/>
    </row>
    <row r="27" spans="1:30" s="17" customFormat="1" ht="30" customHeight="1" x14ac:dyDescent="0.25">
      <c r="A27" s="87">
        <f t="shared" si="15"/>
        <v>14</v>
      </c>
      <c r="B27" s="76">
        <f t="shared" si="16"/>
        <v>11</v>
      </c>
      <c r="C27" s="51" t="s">
        <v>59</v>
      </c>
      <c r="D27" s="26">
        <v>1986</v>
      </c>
      <c r="E27" s="20">
        <f>'Прил.1.1 -перечень домов'!I32</f>
        <v>3591.8</v>
      </c>
      <c r="F27" s="20">
        <f>'Прил.1.1 -перечень домов'!J32*(3.9*31+4.13*26+6.71*16+7.69*12+8.45*12+9.29*252)</f>
        <v>9549246.7199999988</v>
      </c>
      <c r="G27" s="20">
        <f t="shared" si="17"/>
        <v>12686989.722920001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4">
        <v>0</v>
      </c>
      <c r="N27" s="25">
        <v>0</v>
      </c>
      <c r="O27" s="25">
        <v>0</v>
      </c>
      <c r="P27" s="27"/>
      <c r="Q27" s="25">
        <f t="shared" si="13"/>
        <v>0</v>
      </c>
      <c r="R27" s="24">
        <v>0</v>
      </c>
      <c r="S27" s="25">
        <v>0</v>
      </c>
      <c r="T27" s="27">
        <f>E27</f>
        <v>3591.8</v>
      </c>
      <c r="U27" s="25">
        <f>3421*E27</f>
        <v>12287547.800000001</v>
      </c>
      <c r="V27" s="26">
        <v>0</v>
      </c>
      <c r="W27" s="25">
        <v>0</v>
      </c>
      <c r="X27" s="44">
        <v>1</v>
      </c>
      <c r="Y27" s="23">
        <f>38*E27</f>
        <v>136488.4</v>
      </c>
      <c r="Z27" s="24">
        <v>1</v>
      </c>
      <c r="AA27" s="21">
        <f t="shared" si="18"/>
        <v>262953.52292000002</v>
      </c>
      <c r="AB27" s="81"/>
      <c r="AC27" s="81"/>
      <c r="AD27" s="81"/>
    </row>
    <row r="28" spans="1:30" s="17" customFormat="1" ht="30" customHeight="1" x14ac:dyDescent="0.25">
      <c r="A28" s="87">
        <f t="shared" si="15"/>
        <v>15</v>
      </c>
      <c r="B28" s="76">
        <f t="shared" si="16"/>
        <v>12</v>
      </c>
      <c r="C28" s="51" t="s">
        <v>61</v>
      </c>
      <c r="D28" s="26">
        <v>1981</v>
      </c>
      <c r="E28" s="20">
        <f>'Прил.1.1 -перечень домов'!I33</f>
        <v>3575</v>
      </c>
      <c r="F28" s="20">
        <f>'Прил.1.1 -перечень домов'!J33*(3.9*31+4.13*26+6.71*16+7.69*12+8.45*12+9.29*252)</f>
        <v>7843167.0719999988</v>
      </c>
      <c r="G28" s="20">
        <f t="shared" si="17"/>
        <v>5238344.338064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4">
        <v>0</v>
      </c>
      <c r="N28" s="25">
        <v>0</v>
      </c>
      <c r="O28" s="25">
        <v>752.06</v>
      </c>
      <c r="P28" s="43">
        <v>6596</v>
      </c>
      <c r="Q28" s="25">
        <f t="shared" si="13"/>
        <v>4960587.76</v>
      </c>
      <c r="R28" s="24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44">
        <v>1</v>
      </c>
      <c r="Y28" s="31">
        <f t="shared" ref="Y28:Y31" si="20">48*E28</f>
        <v>171600</v>
      </c>
      <c r="Z28" s="24">
        <v>1</v>
      </c>
      <c r="AA28" s="21">
        <f t="shared" si="18"/>
        <v>106156.57806400002</v>
      </c>
      <c r="AB28" s="81"/>
      <c r="AC28" s="81"/>
      <c r="AD28" s="81"/>
    </row>
    <row r="29" spans="1:30" s="17" customFormat="1" ht="30" customHeight="1" x14ac:dyDescent="0.25">
      <c r="A29" s="87">
        <f t="shared" si="15"/>
        <v>16</v>
      </c>
      <c r="B29" s="76">
        <f t="shared" si="16"/>
        <v>13</v>
      </c>
      <c r="C29" s="51" t="s">
        <v>62</v>
      </c>
      <c r="D29" s="26">
        <v>1978</v>
      </c>
      <c r="E29" s="20">
        <f>'Прил.1.1 -перечень домов'!I34</f>
        <v>5009.5</v>
      </c>
      <c r="F29" s="20">
        <f>'Прил.1.1 -перечень домов'!J34*(3.9*31+4.13*26+6.71*16+7.69*12+8.45*12+9.29*252)</f>
        <v>12935170.559999997</v>
      </c>
      <c r="G29" s="20">
        <f t="shared" si="17"/>
        <v>7988183.5599999996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4">
        <v>0</v>
      </c>
      <c r="N29" s="25">
        <v>0</v>
      </c>
      <c r="O29" s="25">
        <v>1150</v>
      </c>
      <c r="P29" s="43">
        <v>6596</v>
      </c>
      <c r="Q29" s="25">
        <f t="shared" si="13"/>
        <v>7585400</v>
      </c>
      <c r="R29" s="24">
        <v>0</v>
      </c>
      <c r="S29" s="25">
        <v>0</v>
      </c>
      <c r="T29" s="26">
        <v>0</v>
      </c>
      <c r="U29" s="25">
        <v>0</v>
      </c>
      <c r="V29" s="26">
        <v>0</v>
      </c>
      <c r="W29" s="25">
        <v>0</v>
      </c>
      <c r="X29" s="44">
        <v>1</v>
      </c>
      <c r="Y29" s="31">
        <f t="shared" si="20"/>
        <v>240456</v>
      </c>
      <c r="Z29" s="24">
        <v>1</v>
      </c>
      <c r="AA29" s="21">
        <f t="shared" si="18"/>
        <v>162327.56000000003</v>
      </c>
      <c r="AB29" s="81"/>
      <c r="AC29" s="81"/>
      <c r="AD29" s="81"/>
    </row>
    <row r="30" spans="1:30" s="17" customFormat="1" ht="30" customHeight="1" x14ac:dyDescent="0.25">
      <c r="A30" s="87">
        <f t="shared" si="15"/>
        <v>17</v>
      </c>
      <c r="B30" s="76">
        <f t="shared" si="16"/>
        <v>14</v>
      </c>
      <c r="C30" s="51" t="s">
        <v>63</v>
      </c>
      <c r="D30" s="26">
        <v>1983</v>
      </c>
      <c r="E30" s="20">
        <f>'Прил.1.1 -перечень домов'!I35</f>
        <v>3444</v>
      </c>
      <c r="F30" s="20">
        <f>'Прил.1.1 -перечень домов'!J35*(3.9*31+4.13*26+6.71*16+7.69*12+8.45*12+9.29*252)</f>
        <v>7764518.1119999997</v>
      </c>
      <c r="G30" s="20">
        <f t="shared" si="17"/>
        <v>2747378.676</v>
      </c>
      <c r="H30" s="23">
        <f>E30*735</f>
        <v>2531340</v>
      </c>
      <c r="I30" s="23">
        <v>0</v>
      </c>
      <c r="J30" s="23">
        <v>0</v>
      </c>
      <c r="K30" s="23">
        <v>0</v>
      </c>
      <c r="L30" s="23">
        <v>0</v>
      </c>
      <c r="M30" s="24">
        <v>0</v>
      </c>
      <c r="N30" s="25">
        <v>0</v>
      </c>
      <c r="O30" s="25">
        <v>0</v>
      </c>
      <c r="P30" s="27"/>
      <c r="Q30" s="25">
        <f t="shared" si="13"/>
        <v>0</v>
      </c>
      <c r="R30" s="24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44">
        <v>1</v>
      </c>
      <c r="Y30" s="23">
        <f>47*E30</f>
        <v>161868</v>
      </c>
      <c r="Z30" s="24">
        <v>1</v>
      </c>
      <c r="AA30" s="21">
        <f t="shared" si="18"/>
        <v>54170.676000000007</v>
      </c>
      <c r="AB30" s="77"/>
      <c r="AC30" s="77"/>
      <c r="AD30" s="77"/>
    </row>
    <row r="31" spans="1:30" s="17" customFormat="1" ht="30" customHeight="1" x14ac:dyDescent="0.25">
      <c r="A31" s="87">
        <f t="shared" si="15"/>
        <v>18</v>
      </c>
      <c r="B31" s="76">
        <f t="shared" si="16"/>
        <v>15</v>
      </c>
      <c r="C31" s="51" t="s">
        <v>66</v>
      </c>
      <c r="D31" s="26">
        <v>1986</v>
      </c>
      <c r="E31" s="20">
        <f>'Прил.1.1 -перечень домов'!I36</f>
        <v>6845.5</v>
      </c>
      <c r="F31" s="20">
        <f>'Прил.1.1 -перечень домов'!J36*(3.9*31+4.13*26+6.71*16+7.69*12+8.45*12+9.29*252)</f>
        <v>14810575.103999998</v>
      </c>
      <c r="G31" s="20">
        <f t="shared" si="17"/>
        <v>7704352.7344479989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4">
        <v>0</v>
      </c>
      <c r="N31" s="25">
        <v>0</v>
      </c>
      <c r="O31" s="25">
        <v>1497.56</v>
      </c>
      <c r="P31" s="43">
        <v>4822</v>
      </c>
      <c r="Q31" s="25">
        <f t="shared" si="13"/>
        <v>7221234.3199999994</v>
      </c>
      <c r="R31" s="24">
        <v>0</v>
      </c>
      <c r="S31" s="25">
        <v>0</v>
      </c>
      <c r="T31" s="26">
        <v>0</v>
      </c>
      <c r="U31" s="25">
        <v>0</v>
      </c>
      <c r="V31" s="26">
        <v>0</v>
      </c>
      <c r="W31" s="25">
        <v>0</v>
      </c>
      <c r="X31" s="44">
        <v>1</v>
      </c>
      <c r="Y31" s="31">
        <f t="shared" si="20"/>
        <v>328584</v>
      </c>
      <c r="Z31" s="24">
        <v>1</v>
      </c>
      <c r="AA31" s="21">
        <f t="shared" si="18"/>
        <v>154534.414448</v>
      </c>
      <c r="AB31" s="81"/>
      <c r="AC31" s="81"/>
      <c r="AD31" s="81"/>
    </row>
    <row r="32" spans="1:30" s="17" customFormat="1" ht="30" customHeight="1" x14ac:dyDescent="0.25">
      <c r="A32" s="87">
        <f t="shared" si="15"/>
        <v>19</v>
      </c>
      <c r="B32" s="76">
        <f t="shared" si="16"/>
        <v>16</v>
      </c>
      <c r="C32" s="52" t="s">
        <v>67</v>
      </c>
      <c r="D32" s="26">
        <v>1971</v>
      </c>
      <c r="E32" s="20">
        <f>'Прил.1.1 -перечень домов'!I37</f>
        <v>782.4</v>
      </c>
      <c r="F32" s="20">
        <f>'Прил.1.1 -перечень домов'!J37*(3.9*31+4.13*26+6.71*16+7.69*12+8.45*12+9.29*252)</f>
        <v>2074151.0399999998</v>
      </c>
      <c r="G32" s="20">
        <f t="shared" si="17"/>
        <v>3111570.5308800004</v>
      </c>
      <c r="H32" s="23">
        <v>0</v>
      </c>
      <c r="I32" s="23">
        <f>2700*E32</f>
        <v>2112480</v>
      </c>
      <c r="J32" s="23">
        <f>855*E32</f>
        <v>668952</v>
      </c>
      <c r="K32" s="23">
        <f t="shared" ref="K32" si="21">228*E32</f>
        <v>178387.19999999998</v>
      </c>
      <c r="L32" s="23">
        <v>0</v>
      </c>
      <c r="M32" s="24">
        <v>0</v>
      </c>
      <c r="N32" s="25">
        <v>0</v>
      </c>
      <c r="O32" s="25">
        <v>0</v>
      </c>
      <c r="P32" s="25"/>
      <c r="Q32" s="25">
        <f t="shared" si="13"/>
        <v>0</v>
      </c>
      <c r="R32" s="24">
        <v>0</v>
      </c>
      <c r="S32" s="25">
        <v>0</v>
      </c>
      <c r="T32" s="26">
        <v>0</v>
      </c>
      <c r="U32" s="25">
        <v>0</v>
      </c>
      <c r="V32" s="26">
        <v>0</v>
      </c>
      <c r="W32" s="25">
        <v>0</v>
      </c>
      <c r="X32" s="44">
        <v>3</v>
      </c>
      <c r="Y32" s="23">
        <f>(57+28+28)*E32</f>
        <v>88411.199999999997</v>
      </c>
      <c r="Z32" s="24">
        <v>3</v>
      </c>
      <c r="AA32" s="21">
        <f t="shared" si="18"/>
        <v>63340.130880000004</v>
      </c>
      <c r="AB32" s="81"/>
      <c r="AC32" s="81"/>
      <c r="AD32" s="81"/>
    </row>
    <row r="33" spans="1:30" s="17" customFormat="1" ht="30" customHeight="1" x14ac:dyDescent="0.25">
      <c r="A33" s="87">
        <f t="shared" si="15"/>
        <v>20</v>
      </c>
      <c r="B33" s="76">
        <f t="shared" si="16"/>
        <v>17</v>
      </c>
      <c r="C33" s="52" t="s">
        <v>68</v>
      </c>
      <c r="D33" s="26">
        <v>1971</v>
      </c>
      <c r="E33" s="20">
        <f>'Прил.1.1 -перечень домов'!I38</f>
        <v>790.9</v>
      </c>
      <c r="F33" s="20">
        <f>'Прил.1.1 -перечень домов'!J38*(3.9*31+4.13*26+6.71*16+7.69*12+8.45*12+9.29*252)</f>
        <v>2097401.2799999998</v>
      </c>
      <c r="G33" s="20">
        <f t="shared" si="17"/>
        <v>3145374.6585800005</v>
      </c>
      <c r="H33" s="23">
        <v>0</v>
      </c>
      <c r="I33" s="23">
        <f t="shared" ref="I33:I35" si="22">2700*E33</f>
        <v>2135430</v>
      </c>
      <c r="J33" s="23">
        <f>855*E33</f>
        <v>676219.5</v>
      </c>
      <c r="K33" s="23">
        <f t="shared" ref="K33:K35" si="23">228*E33</f>
        <v>180325.19999999998</v>
      </c>
      <c r="L33" s="23">
        <v>0</v>
      </c>
      <c r="M33" s="24">
        <v>0</v>
      </c>
      <c r="N33" s="25">
        <v>0</v>
      </c>
      <c r="O33" s="25">
        <v>0</v>
      </c>
      <c r="P33" s="25"/>
      <c r="Q33" s="25">
        <f t="shared" si="13"/>
        <v>0</v>
      </c>
      <c r="R33" s="24">
        <v>0</v>
      </c>
      <c r="S33" s="25">
        <v>0</v>
      </c>
      <c r="T33" s="26">
        <v>0</v>
      </c>
      <c r="U33" s="25">
        <v>0</v>
      </c>
      <c r="V33" s="26">
        <v>0</v>
      </c>
      <c r="W33" s="25">
        <v>0</v>
      </c>
      <c r="X33" s="44">
        <v>3</v>
      </c>
      <c r="Y33" s="23">
        <f t="shared" ref="Y33:Y35" si="24">(57+28+28)*E33</f>
        <v>89371.7</v>
      </c>
      <c r="Z33" s="24">
        <v>3</v>
      </c>
      <c r="AA33" s="21">
        <f t="shared" si="18"/>
        <v>64028.258580000009</v>
      </c>
      <c r="AB33" s="81"/>
      <c r="AC33" s="81"/>
      <c r="AD33" s="81"/>
    </row>
    <row r="34" spans="1:30" s="17" customFormat="1" ht="30" customHeight="1" x14ac:dyDescent="0.25">
      <c r="A34" s="87">
        <f t="shared" si="15"/>
        <v>21</v>
      </c>
      <c r="B34" s="76">
        <f t="shared" si="16"/>
        <v>18</v>
      </c>
      <c r="C34" s="52" t="s">
        <v>69</v>
      </c>
      <c r="D34" s="26">
        <v>1985</v>
      </c>
      <c r="E34" s="20">
        <f>'Прил.1.1 -перечень домов'!I39</f>
        <v>889.59</v>
      </c>
      <c r="F34" s="20">
        <f>'Прил.1.1 -перечень домов'!J39*(3.9*31+4.13*26+6.71*16+7.69*12+8.45*12+9.29*252)</f>
        <v>2443829.8559999997</v>
      </c>
      <c r="G34" s="20">
        <f t="shared" si="17"/>
        <v>3537860.4659580002</v>
      </c>
      <c r="H34" s="23">
        <v>0</v>
      </c>
      <c r="I34" s="23">
        <f t="shared" si="22"/>
        <v>2401893</v>
      </c>
      <c r="J34" s="23">
        <f t="shared" ref="J34:J35" si="25">855*E34</f>
        <v>760599.45000000007</v>
      </c>
      <c r="K34" s="23">
        <f t="shared" si="23"/>
        <v>202826.52000000002</v>
      </c>
      <c r="L34" s="23">
        <v>0</v>
      </c>
      <c r="M34" s="24">
        <v>0</v>
      </c>
      <c r="N34" s="25">
        <v>0</v>
      </c>
      <c r="O34" s="25">
        <v>0</v>
      </c>
      <c r="P34" s="25"/>
      <c r="Q34" s="25">
        <f t="shared" si="13"/>
        <v>0</v>
      </c>
      <c r="R34" s="24">
        <v>0</v>
      </c>
      <c r="S34" s="25">
        <v>0</v>
      </c>
      <c r="T34" s="26">
        <v>0</v>
      </c>
      <c r="U34" s="25">
        <v>0</v>
      </c>
      <c r="V34" s="26">
        <v>0</v>
      </c>
      <c r="W34" s="25">
        <v>0</v>
      </c>
      <c r="X34" s="44">
        <v>3</v>
      </c>
      <c r="Y34" s="23">
        <f t="shared" si="24"/>
        <v>100523.67</v>
      </c>
      <c r="Z34" s="24">
        <v>3</v>
      </c>
      <c r="AA34" s="21">
        <f t="shared" si="18"/>
        <v>72017.825958000016</v>
      </c>
      <c r="AB34" s="81"/>
      <c r="AC34" s="81"/>
      <c r="AD34" s="81"/>
    </row>
    <row r="35" spans="1:30" s="17" customFormat="1" ht="30" customHeight="1" x14ac:dyDescent="0.25">
      <c r="A35" s="87">
        <f t="shared" si="15"/>
        <v>22</v>
      </c>
      <c r="B35" s="76">
        <f t="shared" si="16"/>
        <v>19</v>
      </c>
      <c r="C35" s="52" t="s">
        <v>70</v>
      </c>
      <c r="D35" s="26">
        <v>1988</v>
      </c>
      <c r="E35" s="20">
        <f>'Прил.1.1 -перечень домов'!I40</f>
        <v>1004.1</v>
      </c>
      <c r="F35" s="20">
        <f>'Прил.1.1 -перечень домов'!J40*(3.9*31+4.13*26+6.71*16+7.69*12+8.45*12+9.29*252)</f>
        <v>2777083.2959999996</v>
      </c>
      <c r="G35" s="20">
        <f t="shared" si="17"/>
        <v>3993261.7204199997</v>
      </c>
      <c r="H35" s="23">
        <v>0</v>
      </c>
      <c r="I35" s="23">
        <f t="shared" si="22"/>
        <v>2711070</v>
      </c>
      <c r="J35" s="23">
        <f t="shared" si="25"/>
        <v>858505.5</v>
      </c>
      <c r="K35" s="23">
        <f t="shared" si="23"/>
        <v>228934.80000000002</v>
      </c>
      <c r="L35" s="23">
        <v>0</v>
      </c>
      <c r="M35" s="24">
        <v>0</v>
      </c>
      <c r="N35" s="25">
        <v>0</v>
      </c>
      <c r="O35" s="25">
        <v>0</v>
      </c>
      <c r="P35" s="25"/>
      <c r="Q35" s="25">
        <f t="shared" si="13"/>
        <v>0</v>
      </c>
      <c r="R35" s="24">
        <v>0</v>
      </c>
      <c r="S35" s="25">
        <v>0</v>
      </c>
      <c r="T35" s="26">
        <v>0</v>
      </c>
      <c r="U35" s="25">
        <v>0</v>
      </c>
      <c r="V35" s="26">
        <v>0</v>
      </c>
      <c r="W35" s="25">
        <v>0</v>
      </c>
      <c r="X35" s="44">
        <v>3</v>
      </c>
      <c r="Y35" s="23">
        <f t="shared" si="24"/>
        <v>113463.3</v>
      </c>
      <c r="Z35" s="24">
        <v>3</v>
      </c>
      <c r="AA35" s="21">
        <f t="shared" si="18"/>
        <v>81288.120420000007</v>
      </c>
      <c r="AB35" s="81"/>
      <c r="AC35" s="81"/>
      <c r="AD35" s="81"/>
    </row>
    <row r="36" spans="1:30" s="17" customFormat="1" ht="30" customHeight="1" x14ac:dyDescent="0.25">
      <c r="A36" s="87">
        <f t="shared" si="15"/>
        <v>23</v>
      </c>
      <c r="B36" s="76">
        <f t="shared" si="16"/>
        <v>20</v>
      </c>
      <c r="C36" s="52" t="s">
        <v>71</v>
      </c>
      <c r="D36" s="26">
        <v>1980</v>
      </c>
      <c r="E36" s="20">
        <f>'Прил.1.1 -перечень домов'!I41</f>
        <v>881</v>
      </c>
      <c r="F36" s="20">
        <f>'Прил.1.1 -перечень домов'!J41*(3.9*31+4.13*26+6.71*16+7.69*12+8.45*12+9.29*252)</f>
        <v>2423765.7599999998</v>
      </c>
      <c r="G36" s="20">
        <f t="shared" si="17"/>
        <v>4044464.1335999998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  <c r="N36" s="25">
        <v>0</v>
      </c>
      <c r="O36" s="25">
        <v>832.8</v>
      </c>
      <c r="P36" s="43">
        <v>4705</v>
      </c>
      <c r="Q36" s="25">
        <f t="shared" si="13"/>
        <v>3918324</v>
      </c>
      <c r="R36" s="24">
        <v>0</v>
      </c>
      <c r="S36" s="25">
        <v>0</v>
      </c>
      <c r="T36" s="26">
        <v>0</v>
      </c>
      <c r="U36" s="25">
        <v>0</v>
      </c>
      <c r="V36" s="26">
        <v>0</v>
      </c>
      <c r="W36" s="25">
        <v>0</v>
      </c>
      <c r="X36" s="44">
        <v>1</v>
      </c>
      <c r="Y36" s="31">
        <f t="shared" ref="Y36:Y38" si="26">48*E36</f>
        <v>42288</v>
      </c>
      <c r="Z36" s="24">
        <v>1</v>
      </c>
      <c r="AA36" s="21">
        <f t="shared" si="18"/>
        <v>83852.133600000001</v>
      </c>
      <c r="AB36" s="81"/>
      <c r="AC36" s="81"/>
      <c r="AD36" s="81"/>
    </row>
    <row r="37" spans="1:30" s="17" customFormat="1" ht="30" customHeight="1" x14ac:dyDescent="0.25">
      <c r="A37" s="87">
        <f t="shared" si="15"/>
        <v>24</v>
      </c>
      <c r="B37" s="76">
        <f t="shared" si="16"/>
        <v>21</v>
      </c>
      <c r="C37" s="52" t="s">
        <v>89</v>
      </c>
      <c r="D37" s="26">
        <v>1975</v>
      </c>
      <c r="E37" s="20">
        <f>'Прил.1.1 -перечень домов'!I42</f>
        <v>795.6</v>
      </c>
      <c r="F37" s="20">
        <f>'Прил.1.1 -перечень домов'!J42*(3.9*31+4.13*26+6.71*16+7.69*12+8.45*12+9.29*252)</f>
        <v>2112040.3199999998</v>
      </c>
      <c r="G37" s="20">
        <f t="shared" si="17"/>
        <v>3239737.4793999996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4">
        <v>0</v>
      </c>
      <c r="N37" s="25">
        <v>0</v>
      </c>
      <c r="O37" s="25">
        <v>666.2</v>
      </c>
      <c r="P37" s="43">
        <v>4705</v>
      </c>
      <c r="Q37" s="25">
        <f t="shared" si="13"/>
        <v>3134471</v>
      </c>
      <c r="R37" s="24">
        <v>0</v>
      </c>
      <c r="S37" s="25">
        <v>0</v>
      </c>
      <c r="T37" s="26">
        <v>0</v>
      </c>
      <c r="U37" s="25">
        <v>0</v>
      </c>
      <c r="V37" s="26">
        <v>0</v>
      </c>
      <c r="W37" s="25">
        <v>0</v>
      </c>
      <c r="X37" s="44">
        <v>1</v>
      </c>
      <c r="Y37" s="31">
        <f t="shared" si="26"/>
        <v>38188.800000000003</v>
      </c>
      <c r="Z37" s="24">
        <v>1</v>
      </c>
      <c r="AA37" s="21">
        <f t="shared" si="18"/>
        <v>67077.679400000008</v>
      </c>
      <c r="AB37" s="81"/>
      <c r="AC37" s="81"/>
      <c r="AD37" s="81"/>
    </row>
    <row r="38" spans="1:30" s="17" customFormat="1" ht="30" customHeight="1" x14ac:dyDescent="0.25">
      <c r="A38" s="87">
        <f t="shared" si="15"/>
        <v>25</v>
      </c>
      <c r="B38" s="76">
        <f t="shared" si="16"/>
        <v>22</v>
      </c>
      <c r="C38" s="52" t="s">
        <v>73</v>
      </c>
      <c r="D38" s="26">
        <v>1977</v>
      </c>
      <c r="E38" s="20">
        <f>'Прил.1.1 -перечень домов'!I43</f>
        <v>792.1</v>
      </c>
      <c r="F38" s="20">
        <f>'Прил.1.1 -перечень домов'!J43*(3.9*31+4.13*26+6.71*16+7.69*12+8.45*12+9.29*252)</f>
        <v>2104577.2799999998</v>
      </c>
      <c r="G38" s="20">
        <f t="shared" si="17"/>
        <v>3239569.4793999996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4">
        <v>0</v>
      </c>
      <c r="N38" s="25">
        <v>0</v>
      </c>
      <c r="O38" s="25">
        <v>666.2</v>
      </c>
      <c r="P38" s="43">
        <v>4705</v>
      </c>
      <c r="Q38" s="25">
        <f t="shared" si="13"/>
        <v>3134471</v>
      </c>
      <c r="R38" s="24">
        <v>0</v>
      </c>
      <c r="S38" s="25">
        <v>0</v>
      </c>
      <c r="T38" s="26">
        <v>0</v>
      </c>
      <c r="U38" s="25">
        <v>0</v>
      </c>
      <c r="V38" s="26">
        <v>0</v>
      </c>
      <c r="W38" s="25">
        <v>0</v>
      </c>
      <c r="X38" s="44">
        <v>1</v>
      </c>
      <c r="Y38" s="31">
        <f t="shared" si="26"/>
        <v>38020.800000000003</v>
      </c>
      <c r="Z38" s="24">
        <v>1</v>
      </c>
      <c r="AA38" s="21">
        <f t="shared" si="18"/>
        <v>67077.679400000008</v>
      </c>
      <c r="AB38" s="81"/>
      <c r="AC38" s="81"/>
      <c r="AD38" s="81"/>
    </row>
    <row r="39" spans="1:30" s="17" customFormat="1" ht="30" customHeight="1" x14ac:dyDescent="0.25">
      <c r="A39" s="87">
        <f t="shared" si="15"/>
        <v>26</v>
      </c>
      <c r="B39" s="76">
        <f t="shared" si="16"/>
        <v>23</v>
      </c>
      <c r="C39" s="52" t="s">
        <v>90</v>
      </c>
      <c r="D39" s="26">
        <v>1979</v>
      </c>
      <c r="E39" s="20">
        <f>'Прил.1.1 -перечень домов'!I44</f>
        <v>420.7</v>
      </c>
      <c r="F39" s="20">
        <f>'Прил.1.1 -перечень домов'!J44*(3.9*31+4.13*26+6.71*16+7.69*12+8.45*12+9.29*252)</f>
        <v>1074964.7999999998</v>
      </c>
      <c r="G39" s="20">
        <f t="shared" si="17"/>
        <v>1673105.4733400003</v>
      </c>
      <c r="H39" s="23">
        <v>0</v>
      </c>
      <c r="I39" s="23">
        <f t="shared" ref="I39" si="27">2700*E39</f>
        <v>1135890</v>
      </c>
      <c r="J39" s="23">
        <f>855*E39</f>
        <v>359698.5</v>
      </c>
      <c r="K39" s="23">
        <f t="shared" ref="K39" si="28">228*E39</f>
        <v>95919.599999999991</v>
      </c>
      <c r="L39" s="23">
        <v>0</v>
      </c>
      <c r="M39" s="24">
        <v>0</v>
      </c>
      <c r="N39" s="25">
        <v>0</v>
      </c>
      <c r="O39" s="25">
        <v>0</v>
      </c>
      <c r="P39" s="43">
        <v>0</v>
      </c>
      <c r="Q39" s="25">
        <f t="shared" si="13"/>
        <v>0</v>
      </c>
      <c r="R39" s="24">
        <v>0</v>
      </c>
      <c r="S39" s="25">
        <v>0</v>
      </c>
      <c r="T39" s="26">
        <v>0</v>
      </c>
      <c r="U39" s="25">
        <v>0</v>
      </c>
      <c r="V39" s="26">
        <v>0</v>
      </c>
      <c r="W39" s="25">
        <v>0</v>
      </c>
      <c r="X39" s="44">
        <v>3</v>
      </c>
      <c r="Y39" s="31">
        <f>E39*(57+28+28)</f>
        <v>47539.1</v>
      </c>
      <c r="Z39" s="24">
        <v>3</v>
      </c>
      <c r="AA39" s="21">
        <f t="shared" si="18"/>
        <v>34058.27334</v>
      </c>
      <c r="AB39" s="81"/>
      <c r="AC39" s="81"/>
      <c r="AD39" s="81"/>
    </row>
    <row r="40" spans="1:30" s="17" customFormat="1" ht="30" customHeight="1" x14ac:dyDescent="0.25">
      <c r="A40" s="87">
        <f t="shared" si="15"/>
        <v>27</v>
      </c>
      <c r="B40" s="76">
        <f t="shared" si="16"/>
        <v>24</v>
      </c>
      <c r="C40" s="52" t="s">
        <v>91</v>
      </c>
      <c r="D40" s="26">
        <v>1979</v>
      </c>
      <c r="E40" s="20">
        <f>'Прил.1.1 -перечень домов'!I45</f>
        <v>431.3</v>
      </c>
      <c r="F40" s="20">
        <f>'Прил.1.1 -перечень домов'!J45*(3.9*31+4.13*26+6.71*16+7.69*12+8.45*12+9.29*252)</f>
        <v>1103668.7999999998</v>
      </c>
      <c r="G40" s="20">
        <f t="shared" si="17"/>
        <v>1715261.2090599998</v>
      </c>
      <c r="H40" s="23">
        <v>0</v>
      </c>
      <c r="I40" s="23">
        <f t="shared" ref="I40" si="29">2700*E40</f>
        <v>1164510</v>
      </c>
      <c r="J40" s="23">
        <f t="shared" ref="J40:J42" si="30">855*E40</f>
        <v>368761.5</v>
      </c>
      <c r="K40" s="23">
        <f t="shared" ref="K40" si="31">228*E40</f>
        <v>98336.400000000009</v>
      </c>
      <c r="L40" s="23">
        <v>0</v>
      </c>
      <c r="M40" s="24">
        <v>0</v>
      </c>
      <c r="N40" s="25">
        <v>0</v>
      </c>
      <c r="O40" s="25">
        <v>0</v>
      </c>
      <c r="P40" s="43">
        <v>0</v>
      </c>
      <c r="Q40" s="25">
        <f t="shared" si="13"/>
        <v>0</v>
      </c>
      <c r="R40" s="24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44">
        <v>3</v>
      </c>
      <c r="Y40" s="31">
        <f>E40*(57+28+28)</f>
        <v>48736.9</v>
      </c>
      <c r="Z40" s="24">
        <v>3</v>
      </c>
      <c r="AA40" s="21">
        <f t="shared" ref="AA40" si="32">(H40+I40+J40+K40+N40+Q40+S40+U40+W40)*2.14/100</f>
        <v>34916.409059999998</v>
      </c>
      <c r="AB40" s="81"/>
      <c r="AC40" s="81"/>
      <c r="AD40" s="81"/>
    </row>
    <row r="41" spans="1:30" s="17" customFormat="1" ht="30" customHeight="1" x14ac:dyDescent="0.25">
      <c r="A41" s="87">
        <f t="shared" si="15"/>
        <v>28</v>
      </c>
      <c r="B41" s="76">
        <f t="shared" si="16"/>
        <v>25</v>
      </c>
      <c r="C41" s="52" t="s">
        <v>74</v>
      </c>
      <c r="D41" s="26">
        <v>1979</v>
      </c>
      <c r="E41" s="20">
        <f>'Прил.1.1 -перечень домов'!I46</f>
        <v>439.1</v>
      </c>
      <c r="F41" s="20">
        <f>'Прил.1.1 -перечень домов'!J46*(3.9*31+4.13*26+6.71*16+7.69*12+8.45*12+9.29*252)</f>
        <v>1120317.1199999999</v>
      </c>
      <c r="G41" s="20">
        <f t="shared" si="17"/>
        <v>1746281.4674200001</v>
      </c>
      <c r="H41" s="23">
        <v>0</v>
      </c>
      <c r="I41" s="23">
        <f t="shared" ref="I41:I43" si="33">2700*E41</f>
        <v>1185570</v>
      </c>
      <c r="J41" s="23">
        <f t="shared" si="30"/>
        <v>375430.5</v>
      </c>
      <c r="K41" s="23">
        <f t="shared" ref="K41" si="34">228*E41</f>
        <v>100114.8</v>
      </c>
      <c r="L41" s="23">
        <v>0</v>
      </c>
      <c r="M41" s="24">
        <v>0</v>
      </c>
      <c r="N41" s="25">
        <v>0</v>
      </c>
      <c r="O41" s="25">
        <v>0</v>
      </c>
      <c r="P41" s="27"/>
      <c r="Q41" s="25">
        <f t="shared" si="13"/>
        <v>0</v>
      </c>
      <c r="R41" s="24">
        <v>0</v>
      </c>
      <c r="S41" s="25">
        <v>0</v>
      </c>
      <c r="T41" s="26">
        <v>0</v>
      </c>
      <c r="U41" s="25">
        <v>0</v>
      </c>
      <c r="V41" s="26">
        <v>0</v>
      </c>
      <c r="W41" s="25">
        <v>0</v>
      </c>
      <c r="X41" s="44">
        <v>3</v>
      </c>
      <c r="Y41" s="23">
        <f t="shared" ref="Y41:Y43" si="35">(57+28+28)*E41</f>
        <v>49618.3</v>
      </c>
      <c r="Z41" s="24">
        <v>3</v>
      </c>
      <c r="AA41" s="21">
        <f t="shared" ref="AA41:AA55" si="36">(H41+I41+J41+K41+N41+Q41+S41+U41+W41)*2.14/100</f>
        <v>35547.867420000002</v>
      </c>
      <c r="AB41" s="81"/>
      <c r="AC41" s="81"/>
      <c r="AD41" s="81"/>
    </row>
    <row r="42" spans="1:30" s="17" customFormat="1" ht="30" customHeight="1" x14ac:dyDescent="0.25">
      <c r="A42" s="87">
        <f t="shared" si="15"/>
        <v>29</v>
      </c>
      <c r="B42" s="76">
        <f t="shared" si="16"/>
        <v>26</v>
      </c>
      <c r="C42" s="52" t="s">
        <v>75</v>
      </c>
      <c r="D42" s="26">
        <v>1979</v>
      </c>
      <c r="E42" s="20">
        <f>'Прил.1.1 -перечень домов'!I47</f>
        <v>462.2</v>
      </c>
      <c r="F42" s="20">
        <f>'Прил.1.1 -перечень домов'!J47*(3.9*31+4.13*26+6.71*16+7.69*12+8.45*12+9.29*252)</f>
        <v>1186623.3599999999</v>
      </c>
      <c r="G42" s="20">
        <f t="shared" si="17"/>
        <v>1838149.1556400002</v>
      </c>
      <c r="H42" s="23">
        <v>0</v>
      </c>
      <c r="I42" s="23">
        <f t="shared" si="33"/>
        <v>1247940</v>
      </c>
      <c r="J42" s="23">
        <f t="shared" si="30"/>
        <v>395181</v>
      </c>
      <c r="K42" s="23">
        <f t="shared" ref="K42:K43" si="37">228*E42</f>
        <v>105381.59999999999</v>
      </c>
      <c r="L42" s="23">
        <v>0</v>
      </c>
      <c r="M42" s="24">
        <v>0</v>
      </c>
      <c r="N42" s="25">
        <v>0</v>
      </c>
      <c r="O42" s="25">
        <v>0</v>
      </c>
      <c r="P42" s="27"/>
      <c r="Q42" s="25">
        <f t="shared" si="13"/>
        <v>0</v>
      </c>
      <c r="R42" s="24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44">
        <v>3</v>
      </c>
      <c r="Y42" s="23">
        <f t="shared" si="35"/>
        <v>52228.6</v>
      </c>
      <c r="Z42" s="24">
        <v>3</v>
      </c>
      <c r="AA42" s="21">
        <f t="shared" si="36"/>
        <v>37417.95564</v>
      </c>
      <c r="AB42" s="81"/>
      <c r="AC42" s="81"/>
      <c r="AD42" s="81"/>
    </row>
    <row r="43" spans="1:30" s="17" customFormat="1" ht="30" customHeight="1" x14ac:dyDescent="0.25">
      <c r="A43" s="87">
        <f t="shared" si="15"/>
        <v>30</v>
      </c>
      <c r="B43" s="76">
        <f t="shared" si="16"/>
        <v>27</v>
      </c>
      <c r="C43" s="52" t="s">
        <v>76</v>
      </c>
      <c r="D43" s="26">
        <v>1978</v>
      </c>
      <c r="E43" s="20">
        <f>'Прил.1.1 -перечень домов'!I48</f>
        <v>425.8</v>
      </c>
      <c r="F43" s="20">
        <f>'Прил.1.1 -перечень домов'!J48*(3.9*31+4.13*26+6.71*16+7.69*12+8.45*12+9.29*252)</f>
        <v>1089890.8799999999</v>
      </c>
      <c r="G43" s="20">
        <f t="shared" si="17"/>
        <v>1693387.9499599999</v>
      </c>
      <c r="H43" s="23">
        <v>0</v>
      </c>
      <c r="I43" s="23">
        <f t="shared" si="33"/>
        <v>1149660</v>
      </c>
      <c r="J43" s="23">
        <f>855*E43</f>
        <v>364059</v>
      </c>
      <c r="K43" s="23">
        <f t="shared" si="37"/>
        <v>97082.400000000009</v>
      </c>
      <c r="L43" s="23">
        <v>0</v>
      </c>
      <c r="M43" s="24">
        <v>0</v>
      </c>
      <c r="N43" s="25">
        <v>0</v>
      </c>
      <c r="O43" s="25">
        <v>0</v>
      </c>
      <c r="P43" s="27"/>
      <c r="Q43" s="25">
        <f t="shared" si="13"/>
        <v>0</v>
      </c>
      <c r="R43" s="24">
        <v>0</v>
      </c>
      <c r="S43" s="25">
        <v>0</v>
      </c>
      <c r="T43" s="26">
        <v>0</v>
      </c>
      <c r="U43" s="25">
        <v>0</v>
      </c>
      <c r="V43" s="26">
        <v>0</v>
      </c>
      <c r="W43" s="25">
        <v>0</v>
      </c>
      <c r="X43" s="44">
        <v>3</v>
      </c>
      <c r="Y43" s="23">
        <f t="shared" si="35"/>
        <v>48115.4</v>
      </c>
      <c r="Z43" s="24">
        <v>3</v>
      </c>
      <c r="AA43" s="21">
        <f t="shared" si="36"/>
        <v>34471.149959999995</v>
      </c>
      <c r="AB43" s="81"/>
      <c r="AC43" s="81"/>
      <c r="AD43" s="81"/>
    </row>
    <row r="44" spans="1:30" s="17" customFormat="1" ht="30" customHeight="1" x14ac:dyDescent="0.25">
      <c r="A44" s="87">
        <f t="shared" si="15"/>
        <v>31</v>
      </c>
      <c r="B44" s="76">
        <f t="shared" si="16"/>
        <v>28</v>
      </c>
      <c r="C44" s="52" t="s">
        <v>77</v>
      </c>
      <c r="D44" s="26">
        <v>1972</v>
      </c>
      <c r="E44" s="20">
        <f>'Прил.1.1 -перечень домов'!I49</f>
        <v>801.3</v>
      </c>
      <c r="F44" s="20">
        <f>'Прил.1.1 -перечень домов'!J49*(3.9*31+4.13*26+6.71*16+7.69*12+8.45*12+9.29*252)</f>
        <v>2128401.5999999996</v>
      </c>
      <c r="G44" s="20">
        <f t="shared" si="17"/>
        <v>2830359.3922199998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0</v>
      </c>
      <c r="N44" s="25">
        <v>0</v>
      </c>
      <c r="O44" s="25">
        <v>0</v>
      </c>
      <c r="P44" s="27"/>
      <c r="Q44" s="25">
        <f t="shared" si="13"/>
        <v>0</v>
      </c>
      <c r="R44" s="24">
        <v>0</v>
      </c>
      <c r="S44" s="25">
        <v>0</v>
      </c>
      <c r="T44" s="27">
        <f>E44</f>
        <v>801.3</v>
      </c>
      <c r="U44" s="25">
        <f>3421*E44</f>
        <v>2741247.3</v>
      </c>
      <c r="V44" s="26">
        <v>0</v>
      </c>
      <c r="W44" s="25">
        <v>0</v>
      </c>
      <c r="X44" s="44">
        <v>1</v>
      </c>
      <c r="Y44" s="23">
        <f>38*E44</f>
        <v>30449.399999999998</v>
      </c>
      <c r="Z44" s="24">
        <v>1</v>
      </c>
      <c r="AA44" s="21">
        <f t="shared" si="36"/>
        <v>58662.692219999997</v>
      </c>
      <c r="AB44" s="81"/>
      <c r="AC44" s="81"/>
      <c r="AD44" s="81"/>
    </row>
    <row r="45" spans="1:30" s="17" customFormat="1" ht="30" customHeight="1" x14ac:dyDescent="0.25">
      <c r="A45" s="87">
        <f t="shared" si="15"/>
        <v>32</v>
      </c>
      <c r="B45" s="76">
        <f t="shared" si="16"/>
        <v>29</v>
      </c>
      <c r="C45" s="52" t="s">
        <v>78</v>
      </c>
      <c r="D45" s="26">
        <v>1971</v>
      </c>
      <c r="E45" s="20">
        <f>'Прил.1.1 -перечень домов'!I50</f>
        <v>371</v>
      </c>
      <c r="F45" s="20">
        <f>'Прил.1.1 -перечень домов'!J50*(3.9*31+4.13*26+6.71*16+7.69*12+8.45*12+9.29*252)</f>
        <v>970310.01599999995</v>
      </c>
      <c r="G45" s="20">
        <f t="shared" si="17"/>
        <v>1310449.6873999999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4">
        <v>0</v>
      </c>
      <c r="N45" s="25">
        <v>0</v>
      </c>
      <c r="O45" s="25">
        <v>0</v>
      </c>
      <c r="P45" s="27"/>
      <c r="Q45" s="25">
        <f t="shared" si="13"/>
        <v>0</v>
      </c>
      <c r="R45" s="24">
        <v>0</v>
      </c>
      <c r="S45" s="25">
        <v>0</v>
      </c>
      <c r="T45" s="27">
        <f t="shared" ref="T45:T47" si="38">E45</f>
        <v>371</v>
      </c>
      <c r="U45" s="25">
        <f t="shared" ref="U45:U48" si="39">3421*E45</f>
        <v>1269191</v>
      </c>
      <c r="V45" s="26">
        <v>0</v>
      </c>
      <c r="W45" s="25">
        <v>0</v>
      </c>
      <c r="X45" s="44">
        <v>1</v>
      </c>
      <c r="Y45" s="23">
        <f t="shared" ref="Y45:Y48" si="40">38*E45</f>
        <v>14098</v>
      </c>
      <c r="Z45" s="24">
        <v>1</v>
      </c>
      <c r="AA45" s="21">
        <f t="shared" si="36"/>
        <v>27160.687400000003</v>
      </c>
      <c r="AB45" s="81"/>
      <c r="AC45" s="81"/>
      <c r="AD45" s="81"/>
    </row>
    <row r="46" spans="1:30" s="17" customFormat="1" ht="30" customHeight="1" x14ac:dyDescent="0.25">
      <c r="A46" s="87">
        <f t="shared" si="15"/>
        <v>33</v>
      </c>
      <c r="B46" s="76">
        <f t="shared" si="16"/>
        <v>30</v>
      </c>
      <c r="C46" s="52" t="s">
        <v>79</v>
      </c>
      <c r="D46" s="26">
        <v>1968</v>
      </c>
      <c r="E46" s="20">
        <f>'Прил.1.1 -перечень домов'!I51</f>
        <v>701.7</v>
      </c>
      <c r="F46" s="20">
        <f>'Прил.1.1 -перечень домов'!J51*(3.9*31+4.13*26+6.71*16+7.69*12+8.45*12+9.29*252)</f>
        <v>1539395.5199999998</v>
      </c>
      <c r="G46" s="20">
        <f t="shared" si="17"/>
        <v>2478551.3359800004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4">
        <v>0</v>
      </c>
      <c r="N46" s="25">
        <v>0</v>
      </c>
      <c r="O46" s="25">
        <v>0</v>
      </c>
      <c r="P46" s="27"/>
      <c r="Q46" s="25">
        <f t="shared" si="13"/>
        <v>0</v>
      </c>
      <c r="R46" s="24">
        <v>0</v>
      </c>
      <c r="S46" s="25">
        <v>0</v>
      </c>
      <c r="T46" s="27">
        <f t="shared" si="38"/>
        <v>701.7</v>
      </c>
      <c r="U46" s="25">
        <f t="shared" si="39"/>
        <v>2400515.7000000002</v>
      </c>
      <c r="V46" s="26">
        <v>0</v>
      </c>
      <c r="W46" s="25">
        <v>0</v>
      </c>
      <c r="X46" s="44">
        <v>1</v>
      </c>
      <c r="Y46" s="23">
        <f t="shared" si="40"/>
        <v>26664.600000000002</v>
      </c>
      <c r="Z46" s="24">
        <v>1</v>
      </c>
      <c r="AA46" s="21">
        <f t="shared" si="36"/>
        <v>51371.035980000015</v>
      </c>
      <c r="AB46" s="81"/>
      <c r="AC46" s="81"/>
      <c r="AD46" s="81"/>
    </row>
    <row r="47" spans="1:30" s="17" customFormat="1" ht="30" customHeight="1" x14ac:dyDescent="0.25">
      <c r="A47" s="87">
        <f t="shared" si="15"/>
        <v>34</v>
      </c>
      <c r="B47" s="76">
        <f t="shared" si="16"/>
        <v>31</v>
      </c>
      <c r="C47" s="52" t="s">
        <v>80</v>
      </c>
      <c r="D47" s="26">
        <v>1968</v>
      </c>
      <c r="E47" s="20">
        <f>'Прил.1.1 -перечень домов'!I52</f>
        <v>833.7</v>
      </c>
      <c r="F47" s="20">
        <f>'Прил.1.1 -перечень домов'!J52*(3.9*31+4.13*26+6.71*16+7.69*12+8.45*12+9.29*252)</f>
        <v>2233745.2799999998</v>
      </c>
      <c r="G47" s="20">
        <f t="shared" si="17"/>
        <v>2944802.9767800001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4">
        <v>0</v>
      </c>
      <c r="N47" s="25">
        <v>0</v>
      </c>
      <c r="O47" s="25">
        <v>0</v>
      </c>
      <c r="P47" s="27"/>
      <c r="Q47" s="25">
        <f t="shared" si="13"/>
        <v>0</v>
      </c>
      <c r="R47" s="24">
        <v>0</v>
      </c>
      <c r="S47" s="25">
        <v>0</v>
      </c>
      <c r="T47" s="27">
        <f t="shared" si="38"/>
        <v>833.7</v>
      </c>
      <c r="U47" s="25">
        <f t="shared" si="39"/>
        <v>2852087.7</v>
      </c>
      <c r="V47" s="26">
        <v>0</v>
      </c>
      <c r="W47" s="25">
        <v>0</v>
      </c>
      <c r="X47" s="44">
        <v>1</v>
      </c>
      <c r="Y47" s="23">
        <f t="shared" si="40"/>
        <v>31680.600000000002</v>
      </c>
      <c r="Z47" s="24">
        <v>1</v>
      </c>
      <c r="AA47" s="21">
        <f t="shared" si="36"/>
        <v>61034.676780000002</v>
      </c>
      <c r="AB47" s="81"/>
      <c r="AC47" s="81"/>
      <c r="AD47" s="81"/>
    </row>
    <row r="48" spans="1:30" s="17" customFormat="1" ht="30" customHeight="1" x14ac:dyDescent="0.25">
      <c r="A48" s="87">
        <f t="shared" si="15"/>
        <v>35</v>
      </c>
      <c r="B48" s="76">
        <f t="shared" si="16"/>
        <v>32</v>
      </c>
      <c r="C48" s="52" t="s">
        <v>81</v>
      </c>
      <c r="D48" s="26">
        <v>1967</v>
      </c>
      <c r="E48" s="20">
        <f>'Прил.1.1 -перечень домов'!I53</f>
        <v>838.5</v>
      </c>
      <c r="F48" s="20">
        <f>'Прил.1.1 -перечень домов'!J53*(3.9*31+4.13*26+6.71*16+7.69*12+8.45*12+9.29*252)</f>
        <v>2067836.1599999997</v>
      </c>
      <c r="G48" s="20">
        <f t="shared" si="17"/>
        <v>2961757.5819000001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4">
        <v>0</v>
      </c>
      <c r="N48" s="25">
        <v>0</v>
      </c>
      <c r="O48" s="25">
        <v>0</v>
      </c>
      <c r="P48" s="27"/>
      <c r="Q48" s="25">
        <f t="shared" si="13"/>
        <v>0</v>
      </c>
      <c r="R48" s="24">
        <v>0</v>
      </c>
      <c r="S48" s="25">
        <v>0</v>
      </c>
      <c r="T48" s="27">
        <f t="shared" ref="T48" si="41">E48</f>
        <v>838.5</v>
      </c>
      <c r="U48" s="25">
        <f t="shared" si="39"/>
        <v>2868508.5</v>
      </c>
      <c r="V48" s="26">
        <v>0</v>
      </c>
      <c r="W48" s="25">
        <v>0</v>
      </c>
      <c r="X48" s="44">
        <v>1</v>
      </c>
      <c r="Y48" s="23">
        <f t="shared" si="40"/>
        <v>31863</v>
      </c>
      <c r="Z48" s="24">
        <v>1</v>
      </c>
      <c r="AA48" s="21">
        <f t="shared" si="36"/>
        <v>61386.081900000005</v>
      </c>
      <c r="AB48" s="81"/>
      <c r="AC48" s="81"/>
      <c r="AD48" s="81"/>
    </row>
    <row r="49" spans="1:30" s="17" customFormat="1" ht="30" customHeight="1" x14ac:dyDescent="0.25">
      <c r="A49" s="87">
        <f t="shared" si="15"/>
        <v>36</v>
      </c>
      <c r="B49" s="76">
        <f t="shared" si="16"/>
        <v>33</v>
      </c>
      <c r="C49" s="52" t="s">
        <v>82</v>
      </c>
      <c r="D49" s="26">
        <v>1972</v>
      </c>
      <c r="E49" s="20">
        <f>'Прил.1.1 -перечень домов'!I54</f>
        <v>440</v>
      </c>
      <c r="F49" s="20">
        <f>'Прил.1.1 -перечень домов'!J54*(3.9*31+4.13*26+6.71*16+7.69*12+8.45*12+9.29*252)</f>
        <v>1023297.5999999999</v>
      </c>
      <c r="G49" s="20">
        <f t="shared" si="17"/>
        <v>1749860.7280000001</v>
      </c>
      <c r="H49" s="23">
        <v>0</v>
      </c>
      <c r="I49" s="23">
        <f t="shared" ref="I49:I50" si="42">2700*E49</f>
        <v>1188000</v>
      </c>
      <c r="J49" s="23">
        <f>855*E49</f>
        <v>376200</v>
      </c>
      <c r="K49" s="23">
        <f t="shared" ref="K49" si="43">228*E49</f>
        <v>100320</v>
      </c>
      <c r="L49" s="23">
        <v>0</v>
      </c>
      <c r="M49" s="24">
        <v>0</v>
      </c>
      <c r="N49" s="25">
        <v>0</v>
      </c>
      <c r="O49" s="25">
        <v>0</v>
      </c>
      <c r="P49" s="27"/>
      <c r="Q49" s="25">
        <f t="shared" si="13"/>
        <v>0</v>
      </c>
      <c r="R49" s="24">
        <v>0</v>
      </c>
      <c r="S49" s="25">
        <v>0</v>
      </c>
      <c r="T49" s="26">
        <v>0</v>
      </c>
      <c r="U49" s="25">
        <v>0</v>
      </c>
      <c r="V49" s="26">
        <v>0</v>
      </c>
      <c r="W49" s="25">
        <v>0</v>
      </c>
      <c r="X49" s="44">
        <v>3</v>
      </c>
      <c r="Y49" s="23">
        <f t="shared" ref="Y49:Y50" si="44">(57+28+28)*E49</f>
        <v>49720</v>
      </c>
      <c r="Z49" s="24">
        <v>3</v>
      </c>
      <c r="AA49" s="21">
        <f t="shared" si="36"/>
        <v>35620.728000000003</v>
      </c>
      <c r="AB49" s="81"/>
      <c r="AC49" s="81"/>
      <c r="AD49" s="81"/>
    </row>
    <row r="50" spans="1:30" s="17" customFormat="1" ht="30" customHeight="1" x14ac:dyDescent="0.25">
      <c r="A50" s="87">
        <f t="shared" si="15"/>
        <v>37</v>
      </c>
      <c r="B50" s="76">
        <f t="shared" si="16"/>
        <v>34</v>
      </c>
      <c r="C50" s="52" t="s">
        <v>83</v>
      </c>
      <c r="D50" s="26">
        <v>1967</v>
      </c>
      <c r="E50" s="20">
        <f>'Прил.1.1 -перечень домов'!I55</f>
        <v>540.9</v>
      </c>
      <c r="F50" s="20">
        <f>'Прил.1.1 -перечень домов'!J55*(3.9*31+4.13*26+6.71*16+7.69*12+8.45*12+9.29*252)</f>
        <v>976825.82399999991</v>
      </c>
      <c r="G50" s="20">
        <f t="shared" si="17"/>
        <v>2151135.6085799998</v>
      </c>
      <c r="H50" s="23">
        <v>0</v>
      </c>
      <c r="I50" s="23">
        <f t="shared" si="42"/>
        <v>1460430</v>
      </c>
      <c r="J50" s="23">
        <f>855*E50</f>
        <v>462469.5</v>
      </c>
      <c r="K50" s="23">
        <f t="shared" ref="K50" si="45">228*E50</f>
        <v>123325.2</v>
      </c>
      <c r="L50" s="23">
        <v>0</v>
      </c>
      <c r="M50" s="24">
        <v>0</v>
      </c>
      <c r="N50" s="25">
        <v>0</v>
      </c>
      <c r="O50" s="25">
        <v>0</v>
      </c>
      <c r="P50" s="27"/>
      <c r="Q50" s="25">
        <f t="shared" si="13"/>
        <v>0</v>
      </c>
      <c r="R50" s="24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44">
        <v>3</v>
      </c>
      <c r="Y50" s="23">
        <f t="shared" si="44"/>
        <v>61121.7</v>
      </c>
      <c r="Z50" s="24">
        <v>3</v>
      </c>
      <c r="AA50" s="21">
        <f t="shared" si="36"/>
        <v>43789.208579999999</v>
      </c>
      <c r="AB50" s="81"/>
      <c r="AC50" s="81"/>
      <c r="AD50" s="81"/>
    </row>
    <row r="51" spans="1:30" s="17" customFormat="1" ht="30" customHeight="1" x14ac:dyDescent="0.25">
      <c r="A51" s="87">
        <f t="shared" si="15"/>
        <v>38</v>
      </c>
      <c r="B51" s="76">
        <f t="shared" si="16"/>
        <v>35</v>
      </c>
      <c r="C51" s="52" t="s">
        <v>84</v>
      </c>
      <c r="D51" s="26">
        <v>1964</v>
      </c>
      <c r="E51" s="20">
        <f>'Прил.1.1 -перечень домов'!I56</f>
        <v>694</v>
      </c>
      <c r="F51" s="20">
        <f>'Прил.1.1 -перечень домов'!J56*(3.9*31+4.13*26+6.71*16+7.69*12+8.45*12+9.29*252)</f>
        <v>1441342.6559999997</v>
      </c>
      <c r="G51" s="20">
        <f t="shared" si="17"/>
        <v>2719210.4643000001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4">
        <v>0</v>
      </c>
      <c r="N51" s="25">
        <v>0</v>
      </c>
      <c r="O51" s="25">
        <v>558.9</v>
      </c>
      <c r="P51" s="43">
        <v>4705</v>
      </c>
      <c r="Q51" s="25">
        <f t="shared" si="13"/>
        <v>2629624.5</v>
      </c>
      <c r="R51" s="24">
        <v>0</v>
      </c>
      <c r="S51" s="25">
        <v>0</v>
      </c>
      <c r="T51" s="26">
        <v>0</v>
      </c>
      <c r="U51" s="25">
        <v>0</v>
      </c>
      <c r="V51" s="26">
        <v>0</v>
      </c>
      <c r="W51" s="25">
        <v>0</v>
      </c>
      <c r="X51" s="44">
        <v>1</v>
      </c>
      <c r="Y51" s="31">
        <f t="shared" ref="Y51:Y52" si="46">48*E51</f>
        <v>33312</v>
      </c>
      <c r="Z51" s="24">
        <v>1</v>
      </c>
      <c r="AA51" s="21">
        <f t="shared" si="36"/>
        <v>56273.964300000007</v>
      </c>
      <c r="AB51" s="81"/>
      <c r="AC51" s="81"/>
      <c r="AD51" s="81"/>
    </row>
    <row r="52" spans="1:30" s="17" customFormat="1" ht="30" customHeight="1" x14ac:dyDescent="0.25">
      <c r="A52" s="87">
        <f t="shared" si="15"/>
        <v>39</v>
      </c>
      <c r="B52" s="76">
        <f t="shared" si="16"/>
        <v>36</v>
      </c>
      <c r="C52" s="52" t="s">
        <v>85</v>
      </c>
      <c r="D52" s="26">
        <v>1968</v>
      </c>
      <c r="E52" s="20">
        <f>'Прил.1.1 -перечень домов'!I57</f>
        <v>794.4</v>
      </c>
      <c r="F52" s="20">
        <f>'Прил.1.1 -перечень домов'!J57*(3.9*31+4.13*26+6.71*16+7.69*12+8.45*12+9.29*252)</f>
        <v>1932353.2799999998</v>
      </c>
      <c r="G52" s="20">
        <f t="shared" si="17"/>
        <v>3354055.23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4">
        <v>0</v>
      </c>
      <c r="N52" s="25">
        <v>0</v>
      </c>
      <c r="O52" s="25">
        <v>690</v>
      </c>
      <c r="P52" s="43">
        <v>4705</v>
      </c>
      <c r="Q52" s="25">
        <f t="shared" si="13"/>
        <v>3246450</v>
      </c>
      <c r="R52" s="24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44">
        <v>1</v>
      </c>
      <c r="Y52" s="31">
        <f t="shared" si="46"/>
        <v>38131.199999999997</v>
      </c>
      <c r="Z52" s="24">
        <v>1</v>
      </c>
      <c r="AA52" s="21">
        <f t="shared" si="36"/>
        <v>69474.03</v>
      </c>
      <c r="AB52" s="81"/>
      <c r="AC52" s="81"/>
      <c r="AD52" s="81"/>
    </row>
    <row r="53" spans="1:30" s="17" customFormat="1" ht="30" customHeight="1" x14ac:dyDescent="0.25">
      <c r="A53" s="87">
        <f t="shared" si="15"/>
        <v>40</v>
      </c>
      <c r="B53" s="76">
        <f t="shared" si="16"/>
        <v>37</v>
      </c>
      <c r="C53" s="52" t="s">
        <v>86</v>
      </c>
      <c r="D53" s="26">
        <v>1971</v>
      </c>
      <c r="E53" s="20">
        <f>'Прил.1.1 -перечень домов'!I58</f>
        <v>755.2</v>
      </c>
      <c r="F53" s="20">
        <f>'Прил.1.1 -перечень домов'!J58*(3.9*31+4.13*26+6.71*16+7.69*12+8.45*12+9.29*252)</f>
        <v>1846815.3599999996</v>
      </c>
      <c r="G53" s="20">
        <f t="shared" si="17"/>
        <v>3003397.3222400001</v>
      </c>
      <c r="H53" s="23">
        <v>0</v>
      </c>
      <c r="I53" s="23">
        <f t="shared" ref="I53:I54" si="47">2700*E53</f>
        <v>2039040.0000000002</v>
      </c>
      <c r="J53" s="23">
        <f>855*E53</f>
        <v>645696</v>
      </c>
      <c r="K53" s="23">
        <f t="shared" ref="K53" si="48">228*E53</f>
        <v>172185.60000000001</v>
      </c>
      <c r="L53" s="23">
        <v>0</v>
      </c>
      <c r="M53" s="24">
        <v>0</v>
      </c>
      <c r="N53" s="25">
        <v>0</v>
      </c>
      <c r="O53" s="25">
        <v>0</v>
      </c>
      <c r="P53" s="27"/>
      <c r="Q53" s="25">
        <f t="shared" si="13"/>
        <v>0</v>
      </c>
      <c r="R53" s="24">
        <v>0</v>
      </c>
      <c r="S53" s="25">
        <v>0</v>
      </c>
      <c r="T53" s="26">
        <v>0</v>
      </c>
      <c r="U53" s="25">
        <v>0</v>
      </c>
      <c r="V53" s="26">
        <v>0</v>
      </c>
      <c r="W53" s="25">
        <v>0</v>
      </c>
      <c r="X53" s="44">
        <v>3</v>
      </c>
      <c r="Y53" s="23">
        <f t="shared" ref="Y53:Y54" si="49">(57+28+28)*E53</f>
        <v>85337.600000000006</v>
      </c>
      <c r="Z53" s="24">
        <v>3</v>
      </c>
      <c r="AA53" s="21">
        <f t="shared" si="36"/>
        <v>61138.122240000004</v>
      </c>
      <c r="AB53" s="81"/>
      <c r="AC53" s="81"/>
      <c r="AD53" s="81"/>
    </row>
    <row r="54" spans="1:30" s="17" customFormat="1" ht="30" customHeight="1" x14ac:dyDescent="0.25">
      <c r="A54" s="87">
        <f t="shared" si="15"/>
        <v>41</v>
      </c>
      <c r="B54" s="76">
        <f t="shared" si="16"/>
        <v>38</v>
      </c>
      <c r="C54" s="52" t="s">
        <v>87</v>
      </c>
      <c r="D54" s="26">
        <v>1971</v>
      </c>
      <c r="E54" s="20">
        <f>'Прил.1.1 -перечень домов'!I59</f>
        <v>749.3</v>
      </c>
      <c r="F54" s="20">
        <f>'Прил.1.1 -перечень домов'!J59*(3.9*31+4.13*26+6.71*16+7.69*12+8.45*12+9.29*252)</f>
        <v>1979140.7999999998</v>
      </c>
      <c r="G54" s="20">
        <f t="shared" si="17"/>
        <v>2979933.2806599997</v>
      </c>
      <c r="H54" s="23">
        <v>0</v>
      </c>
      <c r="I54" s="23">
        <f t="shared" si="47"/>
        <v>2023109.9999999998</v>
      </c>
      <c r="J54" s="23">
        <f>855*E54</f>
        <v>640651.5</v>
      </c>
      <c r="K54" s="23">
        <f t="shared" ref="K54" si="50">228*E54</f>
        <v>170840.4</v>
      </c>
      <c r="L54" s="23">
        <v>0</v>
      </c>
      <c r="M54" s="24">
        <v>0</v>
      </c>
      <c r="N54" s="25">
        <v>0</v>
      </c>
      <c r="O54" s="25">
        <v>0</v>
      </c>
      <c r="P54" s="27"/>
      <c r="Q54" s="25">
        <f t="shared" si="13"/>
        <v>0</v>
      </c>
      <c r="R54" s="24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44">
        <v>3</v>
      </c>
      <c r="Y54" s="23">
        <f t="shared" si="49"/>
        <v>84670.9</v>
      </c>
      <c r="Z54" s="24">
        <v>3</v>
      </c>
      <c r="AA54" s="21">
        <f t="shared" si="36"/>
        <v>60660.480660000008</v>
      </c>
      <c r="AB54" s="81"/>
      <c r="AC54" s="81"/>
      <c r="AD54" s="81"/>
    </row>
    <row r="55" spans="1:30" s="17" customFormat="1" ht="30" customHeight="1" x14ac:dyDescent="0.25">
      <c r="A55" s="87">
        <f t="shared" si="15"/>
        <v>42</v>
      </c>
      <c r="B55" s="76">
        <f t="shared" si="16"/>
        <v>39</v>
      </c>
      <c r="C55" s="52" t="s">
        <v>88</v>
      </c>
      <c r="D55" s="26">
        <v>1981</v>
      </c>
      <c r="E55" s="20">
        <f>'Прил.1.1 -перечень домов'!I60</f>
        <v>3418.5</v>
      </c>
      <c r="F55" s="20">
        <f>'Прил.1.1 -перечень домов'!J60*(3.9*31+4.13*26+6.71*16+7.69*12+8.45*12+9.29*252)</f>
        <v>7747783.6799999988</v>
      </c>
      <c r="G55" s="20">
        <f t="shared" si="17"/>
        <v>4853147.4623999996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  <c r="N55" s="25">
        <v>0</v>
      </c>
      <c r="O55" s="25">
        <v>696</v>
      </c>
      <c r="P55" s="43">
        <v>6596</v>
      </c>
      <c r="Q55" s="25">
        <f t="shared" si="13"/>
        <v>4590816</v>
      </c>
      <c r="R55" s="24">
        <v>0</v>
      </c>
      <c r="S55" s="25">
        <v>0</v>
      </c>
      <c r="T55" s="26">
        <v>0</v>
      </c>
      <c r="U55" s="25">
        <v>0</v>
      </c>
      <c r="V55" s="26">
        <v>0</v>
      </c>
      <c r="W55" s="25">
        <v>0</v>
      </c>
      <c r="X55" s="44">
        <v>1</v>
      </c>
      <c r="Y55" s="31">
        <f t="shared" ref="Y55" si="51">48*E55</f>
        <v>164088</v>
      </c>
      <c r="Z55" s="24">
        <v>1</v>
      </c>
      <c r="AA55" s="21">
        <f t="shared" si="36"/>
        <v>98243.462400000004</v>
      </c>
      <c r="AB55" s="81"/>
      <c r="AC55" s="81"/>
      <c r="AD55" s="81"/>
    </row>
  </sheetData>
  <mergeCells count="22">
    <mergeCell ref="Z1:AA1"/>
    <mergeCell ref="B3:AA3"/>
    <mergeCell ref="B5:B8"/>
    <mergeCell ref="C5:C8"/>
    <mergeCell ref="E5:E7"/>
    <mergeCell ref="H5:AA5"/>
    <mergeCell ref="G5:G7"/>
    <mergeCell ref="F5:F7"/>
    <mergeCell ref="R6:S7"/>
    <mergeCell ref="T6:U7"/>
    <mergeCell ref="V6:W7"/>
    <mergeCell ref="X6:Y7"/>
    <mergeCell ref="Z6:AA7"/>
    <mergeCell ref="D5:D8"/>
    <mergeCell ref="H6:L6"/>
    <mergeCell ref="M6:N7"/>
    <mergeCell ref="O6:Q7"/>
    <mergeCell ref="A5:A8"/>
    <mergeCell ref="B10:C10"/>
    <mergeCell ref="B13:C13"/>
    <mergeCell ref="B16:C16"/>
    <mergeCell ref="B11:C11"/>
  </mergeCells>
  <printOptions horizontalCentered="1"/>
  <pageMargins left="0.27559055118110237" right="0.11811023622047245" top="0.55118110236220474" bottom="0.15748031496062992" header="0.31496062992125984" footer="0.31496062992125984"/>
  <pageSetup paperSize="9" scale="45" fitToHeight="2" orientation="landscape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Прил.1.1 -перечень домов</vt:lpstr>
      <vt:lpstr>Прил.1.2-реестр дом</vt:lpstr>
      <vt:lpstr>'Прил.1.1 -перечень домов'!Заголовки_для_печати</vt:lpstr>
      <vt:lpstr>'Прил.1.2-реестр дом'!Заголовки_для_печати</vt:lpstr>
      <vt:lpstr>'Прил.1.1 -перечень домов'!Область_печати</vt:lpstr>
      <vt:lpstr>'Прил.1.2-реестр дом'!Область_печати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</dc:creator>
  <cp:lastModifiedBy>ugs_2</cp:lastModifiedBy>
  <cp:lastPrinted>2022-09-29T07:16:24Z</cp:lastPrinted>
  <dcterms:created xsi:type="dcterms:W3CDTF">2015-02-12T04:39:05Z</dcterms:created>
  <dcterms:modified xsi:type="dcterms:W3CDTF">2022-09-06T05:38:02Z</dcterms:modified>
</cp:coreProperties>
</file>